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0J9k0I8EYb6IQFnJuNSMpEooSWVLz2YoanicE9nNS9mRPoV8pKbTlOElJjOVmGqDlrqkMvIGlKxdlmU1/AfrUw==" workbookSaltValue="xFflpqELu+zk0Uz4d5KS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G12"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AM19" i="8" l="1"/>
  <c r="AC19" i="8"/>
  <c r="AK19" i="8"/>
  <c r="AA19" i="8"/>
  <c r="AI19" i="8"/>
  <c r="R19" i="8"/>
  <c r="T19" i="8"/>
  <c r="BG10" i="8"/>
  <c r="H9" i="7"/>
  <c r="BG9" i="8"/>
  <c r="BE9" i="8"/>
  <c r="BE12" i="8"/>
  <c r="I12" i="7" s="1"/>
  <c r="R8" i="9"/>
  <c r="AY13" i="13"/>
  <c r="F17" i="16"/>
  <c r="BL17" i="16" s="1"/>
  <c r="BG16" i="13"/>
  <c r="BD16" i="13"/>
  <c r="BE15" i="13"/>
  <c r="BE16" i="13"/>
  <c r="E12" i="6"/>
  <c r="S17" i="17"/>
  <c r="BH11" i="11"/>
  <c r="BJ10" i="11"/>
  <c r="BL10" i="11"/>
  <c r="BF12" i="11"/>
  <c r="S15" i="16"/>
  <c r="X15" i="17"/>
  <c r="AA17" i="16"/>
  <c r="BU16" i="17"/>
  <c r="BV10" i="16"/>
  <c r="BW15" i="20"/>
  <c r="BW16" i="20"/>
  <c r="BW17" i="20"/>
  <c r="BU15" i="17"/>
  <c r="BM15" i="11"/>
  <c r="BL11" i="11"/>
  <c r="BI17" i="11"/>
  <c r="BJ11" i="11"/>
  <c r="BH9" i="11"/>
  <c r="AP10" i="21"/>
  <c r="X12" i="21"/>
  <c r="T9" i="11"/>
  <c r="BF11" i="11"/>
  <c r="BH11" i="16"/>
  <c r="BL9" i="11"/>
  <c r="BH17" i="16"/>
  <c r="BM16" i="11"/>
  <c r="BL17" i="11"/>
  <c r="BF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K12"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10" i="12"/>
  <c r="BK15" i="11"/>
  <c r="BK9" i="11"/>
  <c r="BM12" i="11"/>
  <c r="R10" i="21"/>
  <c r="BH17" i="11"/>
  <c r="BW9" i="20"/>
  <c r="BV15" i="16"/>
  <c r="BU17" i="17"/>
  <c r="AA15" i="16"/>
  <c r="P15" i="17"/>
  <c r="P18" i="17" s="1"/>
  <c r="P19" i="17" s="1"/>
  <c r="R11" i="14"/>
  <c r="BG16" i="11"/>
  <c r="BH12" i="16"/>
  <c r="L17" i="2"/>
  <c r="V10" i="16"/>
  <c r="X9" i="17"/>
  <c r="V9" i="11"/>
  <c r="AP17" i="20"/>
  <c r="BV16" i="16"/>
  <c r="BU9" i="17"/>
  <c r="T16" i="11"/>
  <c r="BL15" i="11"/>
  <c r="BM9" i="11"/>
  <c r="Q9" i="11" s="1"/>
  <c r="X15" i="16"/>
  <c r="X18" i="16" s="1"/>
  <c r="V9" i="16"/>
  <c r="BG9" i="11"/>
  <c r="BV9" i="16"/>
  <c r="BK16" i="11"/>
  <c r="BK10" i="11"/>
  <c r="L15" i="2"/>
  <c r="AA9" i="16"/>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L19" i="11" l="1"/>
  <c r="AA19" i="11"/>
  <c r="G20" i="21"/>
  <c r="G19" i="21"/>
  <c r="R13" i="21"/>
  <c r="R19" i="21"/>
  <c r="BK13" i="11"/>
  <c r="BK19" i="1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<sst xmlns="http://schemas.openxmlformats.org/spreadsheetml/2006/main" count="2094" uniqueCount="913">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</sst>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W/t8/92jJ0wiTprhSFzP29VzyCzCrvpnO5j8zFEThqZCdQG+9z/OiLtn1vO7qR1mPmXPq+fvRRzmVJUuUFuyQ==" saltValue="8I3fymzd6aFlMOit1aLY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2</v>
      </c>
      <c r="F10" s="229">
        <f>IF(ISNUMBER(Datos!K10),Datos!K10," - ")</f>
        <v>6</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29.333333333333332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53.267123287671232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2</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672</v>
      </c>
      <c r="D16" s="228">
        <f>IF(ISNUMBER(IF(D_I="SI",Datos!I16,Datos!I16+Datos!AC16)),IF(D_I="SI",Datos!I16,Datos!I16+Datos!AC16)," - ")</f>
        <v>672</v>
      </c>
      <c r="E16" s="229">
        <f>IF(ISNUMBER(IF(D_I="SI",Datos!J16,Datos!J16+Datos!AD16)),IF(D_I="SI",Datos!J16,Datos!J16+Datos!AD16)," - ")</f>
        <v>207</v>
      </c>
      <c r="F16" s="229">
        <f>IF(ISNUMBER(IF(D_I="SI",Datos!K16,Datos!K16+Datos!AE16)),IF(D_I="SI",Datos!K16,Datos!K16+Datos!AE16)," - ")</f>
        <v>240</v>
      </c>
      <c r="G16" s="1037" t="str">
        <f>IF(Datos!E16&lt;&gt;"",Datos!E16,Datos!D16)</f>
        <v>04</v>
      </c>
      <c r="H16" s="230">
        <f>IF(ISNUMBER(IF(D_I="SI",Datos!L16,Datos!L16+Datos!AF16)),IF(D_I="SI",Datos!L16,Datos!L16+Datos!AF16)," - ")</f>
        <v>639</v>
      </c>
      <c r="I16" s="1047" t="str">
        <f>IF(ISNUMBER(Datos!AS16/Datos!BM16),Datos!AS16/Datos!BM16," - ")</f>
        <v xml:space="preserve"> - </v>
      </c>
      <c r="J16" s="1048">
        <f>IF(ISNUMBER(Datos!BY16/Datos!CN16),Datos!BY16/Datos!CN16," - ")</f>
        <v>0</v>
      </c>
      <c r="K16" s="233">
        <f t="shared" si="3"/>
        <v>-4.9107142857142856E-2</v>
      </c>
      <c r="L16" s="1028">
        <f>IF(ISNUMBER(NºAsuntos!I16/NºAsuntos!G16),(NºAsuntos!I16/NºAsuntos!G16)*11," - ")</f>
        <v>29.287500000000001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56</v>
      </c>
      <c r="D17" s="228">
        <f>IF(ISNUMBER(IF(D_I="SI",Datos!I17,Datos!I17+Datos!AC17)),IF(D_I="SI",Datos!I17,Datos!I17+Datos!AC17)," - ")</f>
        <v>56</v>
      </c>
      <c r="E17" s="229">
        <f>IF(ISNUMBER(IF(D_I="SI",Datos!J17,Datos!J17+Datos!AD17)),IF(D_I="SI",Datos!J17,Datos!J17+Datos!AD17)," - ")</f>
        <v>24</v>
      </c>
      <c r="F17" s="229">
        <f>IF(ISNUMBER(IF(D_I="SI",Datos!K17,Datos!K17+Datos!AE17)),IF(D_I="SI",Datos!K17,Datos!K17+Datos!AE17)," - ")</f>
        <v>10</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728</v>
      </c>
      <c r="D18" s="1052">
        <f>SUBTOTAL(9,D15:D17)</f>
        <v>728</v>
      </c>
      <c r="E18" s="1053">
        <f>SUBTOTAL(9,E15:E17)</f>
        <v>231</v>
      </c>
      <c r="F18" s="1053">
        <f>SUBTOTAL(9,F15:F17)</f>
        <v>250</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748</v>
      </c>
      <c r="D19" s="1074">
        <f>SUBTOTAL(9,D9:D18)</f>
        <v>748</v>
      </c>
      <c r="E19" s="1075">
        <f>SUBTOTAL(9,E9:E18)</f>
        <v>233</v>
      </c>
      <c r="F19" s="1075">
        <f>SUBTOTAL(9,F9:F18)</f>
        <v>256</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5fXo8fo01dAuok02b7xjawcmGHq7ljj1IN04rPVXJuDrcBDLwdoKhc5Ivp8sIfutOcBYcV+n2e7o/M5cF6rLA==" saltValue="dHb279Qk/zh+zCJAI3gCe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D8YcGqdXURZVhVPpYEB9sxX52w1ByWF1UNbYCb0hOGt2SwQiYHWzbV61X7J+1R2m5k7PVXTjMUzgpGEOcFuRQ==" saltValue="Ws0B7SvlIMuzCin83jhr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2</v>
      </c>
      <c r="K10" s="184">
        <v>6</v>
      </c>
      <c r="L10" s="184">
        <v>16</v>
      </c>
      <c r="M10" s="184">
        <v>6</v>
      </c>
      <c r="N10" s="184">
        <v>0</v>
      </c>
      <c r="O10" s="184">
        <v>0</v>
      </c>
      <c r="P10" s="184">
        <v>0</v>
      </c>
      <c r="Q10" s="184">
        <v>0</v>
      </c>
      <c r="R10" s="184">
        <v>0</v>
      </c>
      <c r="S10" s="184">
        <v>7</v>
      </c>
      <c r="T10" s="184">
        <v>2</v>
      </c>
      <c r="U10" s="184">
        <v>0</v>
      </c>
      <c r="V10" s="184">
        <v>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2</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1263</v>
      </c>
      <c r="J12" s="186">
        <v>354</v>
      </c>
      <c r="K12" s="186">
        <v>246</v>
      </c>
      <c r="L12" s="186">
        <v>1371</v>
      </c>
      <c r="M12" s="186">
        <v>85</v>
      </c>
      <c r="N12" s="186">
        <v>111</v>
      </c>
      <c r="O12" s="184">
        <v>126</v>
      </c>
      <c r="P12" s="186">
        <v>48</v>
      </c>
      <c r="Q12" s="186">
        <v>86</v>
      </c>
      <c r="R12" s="186">
        <v>628</v>
      </c>
      <c r="S12" s="186">
        <v>850</v>
      </c>
      <c r="T12" s="186">
        <v>260</v>
      </c>
      <c r="U12" s="186">
        <v>200</v>
      </c>
      <c r="V12" s="186">
        <v>910</v>
      </c>
      <c r="W12" s="186">
        <v>72</v>
      </c>
      <c r="X12" s="192">
        <v>59</v>
      </c>
      <c r="Y12" s="194">
        <v>47</v>
      </c>
      <c r="Z12" s="184">
        <v>42</v>
      </c>
      <c r="AA12" s="184">
        <v>46</v>
      </c>
      <c r="AB12" s="184">
        <v>43</v>
      </c>
      <c r="AC12" s="186">
        <v>0</v>
      </c>
      <c r="AD12" s="186">
        <v>0</v>
      </c>
      <c r="AE12" s="186">
        <v>0</v>
      </c>
      <c r="AF12" s="192">
        <v>0</v>
      </c>
      <c r="AG12" s="205">
        <v>49</v>
      </c>
      <c r="AH12" s="186">
        <v>28</v>
      </c>
      <c r="AI12" s="186">
        <v>31</v>
      </c>
      <c r="AJ12" s="206">
        <v>46</v>
      </c>
      <c r="AK12" s="185">
        <v>0</v>
      </c>
      <c r="AL12" s="186">
        <v>0</v>
      </c>
      <c r="AM12" s="186">
        <v>0</v>
      </c>
      <c r="AN12" s="192">
        <v>0</v>
      </c>
      <c r="AO12" s="262">
        <v>2</v>
      </c>
      <c r="AP12" s="158">
        <v>2</v>
      </c>
      <c r="AQ12" s="158">
        <v>2</v>
      </c>
      <c r="AR12" s="157">
        <v>2</v>
      </c>
      <c r="AS12" s="343" t="s">
        <v>807</v>
      </c>
      <c r="AT12" s="206"/>
      <c r="AU12" s="205"/>
      <c r="AV12" s="206"/>
      <c r="AW12" s="205"/>
      <c r="AX12" s="206"/>
      <c r="AY12" s="126">
        <f t="shared" si="1"/>
        <v>899</v>
      </c>
      <c r="AZ12" s="127">
        <f t="shared" si="1"/>
        <v>288</v>
      </c>
      <c r="BA12" s="127">
        <f t="shared" si="1"/>
        <v>231</v>
      </c>
      <c r="BB12" s="127">
        <f t="shared" si="1"/>
        <v>956</v>
      </c>
      <c r="BC12" s="125">
        <f>IF(ISNUMBER(X12),X12," - ")</f>
        <v>59</v>
      </c>
      <c r="BD12" s="126">
        <f t="shared" si="2"/>
        <v>0.80208333333333337</v>
      </c>
      <c r="BE12" s="127">
        <f t="shared" si="3"/>
        <v>4.1385281385281383</v>
      </c>
      <c r="BF12" s="127">
        <f t="shared" si="4"/>
        <v>0.25541125541125542</v>
      </c>
      <c r="BG12" s="199">
        <f t="shared" si="5"/>
        <v>5.1385281385281383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1283</v>
      </c>
      <c r="J13" s="187">
        <f t="shared" si="6"/>
        <v>356</v>
      </c>
      <c r="K13" s="187">
        <f t="shared" si="6"/>
        <v>252</v>
      </c>
      <c r="L13" s="187">
        <f t="shared" si="6"/>
        <v>1387</v>
      </c>
      <c r="M13" s="187">
        <f t="shared" si="6"/>
        <v>91</v>
      </c>
      <c r="N13" s="187">
        <f t="shared" si="6"/>
        <v>111</v>
      </c>
      <c r="O13" s="187">
        <f t="shared" si="6"/>
        <v>126</v>
      </c>
      <c r="P13" s="187">
        <f t="shared" si="6"/>
        <v>48</v>
      </c>
      <c r="Q13" s="187">
        <f t="shared" si="6"/>
        <v>86</v>
      </c>
      <c r="R13" s="187">
        <f t="shared" si="6"/>
        <v>628</v>
      </c>
      <c r="S13" s="187">
        <f t="shared" si="6"/>
        <v>857</v>
      </c>
      <c r="T13" s="187">
        <f t="shared" si="6"/>
        <v>262</v>
      </c>
      <c r="U13" s="187">
        <f t="shared" si="6"/>
        <v>200</v>
      </c>
      <c r="V13" s="187">
        <f t="shared" si="6"/>
        <v>919</v>
      </c>
      <c r="W13" s="187">
        <f t="shared" si="6"/>
        <v>72</v>
      </c>
      <c r="X13" s="187">
        <f t="shared" si="6"/>
        <v>59</v>
      </c>
      <c r="Y13" s="187">
        <f t="shared" si="6"/>
        <v>47</v>
      </c>
      <c r="Z13" s="187">
        <f t="shared" si="6"/>
        <v>42</v>
      </c>
      <c r="AA13" s="187">
        <f t="shared" si="6"/>
        <v>46</v>
      </c>
      <c r="AB13" s="187">
        <f t="shared" si="6"/>
        <v>43</v>
      </c>
      <c r="AC13" s="187">
        <f t="shared" si="6"/>
        <v>0</v>
      </c>
      <c r="AD13" s="187">
        <f t="shared" si="6"/>
        <v>0</v>
      </c>
      <c r="AE13" s="187">
        <f t="shared" si="6"/>
        <v>0</v>
      </c>
      <c r="AF13" s="187">
        <f>SUBTOTAL(9,AF9:AF12)</f>
        <v>0</v>
      </c>
      <c r="AG13" s="187">
        <f t="shared" ref="AG13:AT13" si="7">SUBTOTAL(9,AG8:AG12)</f>
        <v>49</v>
      </c>
      <c r="AH13" s="187">
        <f t="shared" si="7"/>
        <v>28</v>
      </c>
      <c r="AI13" s="187">
        <f t="shared" si="7"/>
        <v>31</v>
      </c>
      <c r="AJ13" s="187">
        <f t="shared" si="7"/>
        <v>46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906</v>
      </c>
      <c r="AZ13" s="187">
        <f>SUBTOTAL(9,AZ8:AZ12)</f>
        <v>290</v>
      </c>
      <c r="BA13" s="187">
        <f>SUBTOTAL(9,BA8:BA12)</f>
        <v>231</v>
      </c>
      <c r="BB13" s="187">
        <f>SUBTOTAL(9,BB8:BB12)</f>
        <v>965</v>
      </c>
      <c r="BC13" s="187">
        <f>SUBTOTAL(9,BC8:BC12)</f>
        <v>59</v>
      </c>
      <c r="BD13" s="208">
        <f>IF(ISNUMBER(BA13/AZ13),BA13/AZ13," - ")</f>
        <v>0.79655172413793107</v>
      </c>
      <c r="BE13" s="209">
        <f>IF(ISNUMBER(BB13/BA13),BB13/BA13, " - ")</f>
        <v>4.1774891774891776</v>
      </c>
      <c r="BF13" s="209">
        <f>IF(ISNUMBER(BC13/BA13),BC13/BA13, " - ")</f>
        <v>0.25541125541125542</v>
      </c>
      <c r="BG13" s="210">
        <f>IF(ISNUMBER((AY13+AZ13)/BA13),(AY13+AZ13)/BA13," - ")</f>
        <v>5.1774891774891776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672</v>
      </c>
      <c r="J16" s="186">
        <v>207</v>
      </c>
      <c r="K16" s="186">
        <v>240</v>
      </c>
      <c r="L16" s="186">
        <v>639</v>
      </c>
      <c r="M16" s="186">
        <v>30</v>
      </c>
      <c r="N16" s="186">
        <v>164</v>
      </c>
      <c r="O16" s="184">
        <v>2</v>
      </c>
      <c r="P16" s="186">
        <v>6</v>
      </c>
      <c r="Q16" s="186">
        <v>3</v>
      </c>
      <c r="R16" s="186">
        <v>64</v>
      </c>
      <c r="S16" s="186">
        <v>361</v>
      </c>
      <c r="T16" s="186">
        <v>249</v>
      </c>
      <c r="U16" s="186">
        <v>259</v>
      </c>
      <c r="V16" s="186">
        <v>354</v>
      </c>
      <c r="W16" s="186">
        <v>23</v>
      </c>
      <c r="X16" s="192">
        <v>151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361</v>
      </c>
      <c r="AZ16" s="127">
        <f t="shared" si="9"/>
        <v>249</v>
      </c>
      <c r="BA16" s="127">
        <f t="shared" si="9"/>
        <v>259</v>
      </c>
      <c r="BB16" s="127">
        <f t="shared" si="9"/>
        <v>354</v>
      </c>
      <c r="BC16" s="125">
        <f>IF(ISNUMBER(W16),W16," - ")</f>
        <v>23</v>
      </c>
      <c r="BD16" s="126">
        <f t="shared" ref="BD16" si="11">IF(ISNUMBER(BA16/AZ16),BA16/AZ16," - ")</f>
        <v>1.0401606425702812</v>
      </c>
      <c r="BE16" s="127">
        <f t="shared" ref="BE16" si="12">IF(ISNUMBER(BB16/BA16),BB16/BA16, " - ")</f>
        <v>1.3667953667953667</v>
      </c>
      <c r="BF16" s="127">
        <f t="shared" ref="BF16" si="13">IF(ISNUMBER(BC16/BA16),BC16/BA16, " - ")</f>
        <v>8.8803088803088806E-2</v>
      </c>
      <c r="BG16" s="199">
        <f t="shared" si="10"/>
        <v>2.3552123552123554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56</v>
      </c>
      <c r="J17" s="186">
        <v>24</v>
      </c>
      <c r="K17" s="186">
        <v>10</v>
      </c>
      <c r="L17" s="186">
        <v>70</v>
      </c>
      <c r="M17" s="186">
        <v>1</v>
      </c>
      <c r="N17" s="186">
        <v>26</v>
      </c>
      <c r="O17" s="186">
        <v>0</v>
      </c>
      <c r="P17" s="186">
        <v>0</v>
      </c>
      <c r="Q17" s="186">
        <v>0</v>
      </c>
      <c r="R17" s="186">
        <v>0</v>
      </c>
      <c r="S17" s="186">
        <v>25</v>
      </c>
      <c r="T17" s="186">
        <v>14</v>
      </c>
      <c r="U17" s="186">
        <v>6</v>
      </c>
      <c r="V17" s="186">
        <v>33</v>
      </c>
      <c r="W17" s="186">
        <v>0</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25</v>
      </c>
      <c r="AZ17" s="129">
        <f t="shared" si="14"/>
        <v>14</v>
      </c>
      <c r="BA17" s="129">
        <f t="shared" si="14"/>
        <v>6</v>
      </c>
      <c r="BB17" s="129">
        <f t="shared" si="14"/>
        <v>33</v>
      </c>
      <c r="BC17" s="125">
        <f>IF(ISNUMBER(W17),W17," - ")</f>
        <v>0</v>
      </c>
      <c r="BD17" s="126">
        <f>IF(ISNUMBER(BA17/AZ17),BA17/AZ17," - ")</f>
        <v>0.42857142857142855</v>
      </c>
      <c r="BE17" s="127">
        <f>IF(ISNUMBER(BB17/BA17),BB17/BA17, " - ")</f>
        <v>5.5</v>
      </c>
      <c r="BF17" s="127">
        <f>IF(ISNUMBER(BC17/BA17),BC17/BA17, " - ")</f>
        <v>0</v>
      </c>
      <c r="BG17" s="199">
        <f>IF(ISNUMBER((AY17+AZ17)/BA17),(AY17+AZ17)/BA17," - ")</f>
        <v>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728</v>
      </c>
      <c r="J18" s="187">
        <f t="shared" si="15"/>
        <v>231</v>
      </c>
      <c r="K18" s="187">
        <f t="shared" si="15"/>
        <v>250</v>
      </c>
      <c r="L18" s="187">
        <f t="shared" si="15"/>
        <v>709</v>
      </c>
      <c r="M18" s="187">
        <f t="shared" si="15"/>
        <v>31</v>
      </c>
      <c r="N18" s="187">
        <f t="shared" si="15"/>
        <v>190</v>
      </c>
      <c r="O18" s="187">
        <f t="shared" si="15"/>
        <v>2</v>
      </c>
      <c r="P18" s="187">
        <f t="shared" si="15"/>
        <v>6</v>
      </c>
      <c r="Q18" s="187">
        <f t="shared" si="15"/>
        <v>3</v>
      </c>
      <c r="R18" s="187">
        <f t="shared" si="15"/>
        <v>64</v>
      </c>
      <c r="S18" s="187">
        <f t="shared" si="15"/>
        <v>386</v>
      </c>
      <c r="T18" s="187">
        <f t="shared" si="15"/>
        <v>263</v>
      </c>
      <c r="U18" s="187">
        <f t="shared" si="15"/>
        <v>265</v>
      </c>
      <c r="V18" s="187">
        <f t="shared" si="15"/>
        <v>387</v>
      </c>
      <c r="W18" s="187">
        <f t="shared" si="15"/>
        <v>23</v>
      </c>
      <c r="X18" s="187">
        <f t="shared" si="15"/>
        <v>168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386</v>
      </c>
      <c r="AZ18" s="187">
        <f>SUBTOTAL(9,AZ14:AZ17)</f>
        <v>263</v>
      </c>
      <c r="BA18" s="187">
        <f>SUBTOTAL(9,BA14:BA17)</f>
        <v>265</v>
      </c>
      <c r="BB18" s="187">
        <f>SUBTOTAL(9,BB14:BB17)</f>
        <v>387</v>
      </c>
      <c r="BC18" s="187">
        <f>SUBTOTAL(9,BC14:BC17)</f>
        <v>23</v>
      </c>
      <c r="BD18" s="208">
        <f>IF(ISNUMBER(BA18/AZ18),BA18/AZ18," - ")</f>
        <v>1.0076045627376427</v>
      </c>
      <c r="BE18" s="209">
        <f>IF(ISNUMBER(BB18/BA18),BB18/BA18, " - ")</f>
        <v>1.4603773584905659</v>
      </c>
      <c r="BF18" s="209">
        <f>IF(ISNUMBER(BC18/BA18),BC18/BA18, " - ")</f>
        <v>8.6792452830188674E-2</v>
      </c>
      <c r="BG18" s="210">
        <f>IF(ISNUMBER((AY18+AZ18)/BA18),(AY18+AZ18)/BA18," - ")</f>
        <v>2.449056603773585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2011</v>
      </c>
      <c r="J19" s="134">
        <f t="shared" si="18"/>
        <v>587</v>
      </c>
      <c r="K19" s="134">
        <f t="shared" si="18"/>
        <v>502</v>
      </c>
      <c r="L19" s="134">
        <f t="shared" si="18"/>
        <v>2096</v>
      </c>
      <c r="M19" s="134">
        <f t="shared" si="18"/>
        <v>122</v>
      </c>
      <c r="N19" s="134">
        <f t="shared" si="18"/>
        <v>301</v>
      </c>
      <c r="O19" s="134">
        <f t="shared" si="18"/>
        <v>128</v>
      </c>
      <c r="P19" s="134">
        <f t="shared" si="18"/>
        <v>54</v>
      </c>
      <c r="Q19" s="134">
        <f t="shared" si="18"/>
        <v>89</v>
      </c>
      <c r="R19" s="134">
        <f t="shared" si="18"/>
        <v>692</v>
      </c>
      <c r="S19" s="134">
        <f t="shared" si="18"/>
        <v>1243</v>
      </c>
      <c r="T19" s="134">
        <f t="shared" si="18"/>
        <v>525</v>
      </c>
      <c r="U19" s="134">
        <f t="shared" si="18"/>
        <v>465</v>
      </c>
      <c r="V19" s="134">
        <f t="shared" si="18"/>
        <v>1306</v>
      </c>
      <c r="W19" s="134">
        <f t="shared" si="18"/>
        <v>95</v>
      </c>
      <c r="X19" s="134">
        <f t="shared" si="18"/>
        <v>227</v>
      </c>
      <c r="Y19" s="134">
        <f t="shared" si="18"/>
        <v>47</v>
      </c>
      <c r="Z19" s="134">
        <f t="shared" si="18"/>
        <v>42</v>
      </c>
      <c r="AA19" s="134">
        <f t="shared" si="18"/>
        <v>46</v>
      </c>
      <c r="AB19" s="134">
        <f t="shared" si="18"/>
        <v>43</v>
      </c>
      <c r="AC19" s="134">
        <f t="shared" si="18"/>
        <v>0</v>
      </c>
      <c r="AD19" s="134">
        <f t="shared" si="18"/>
        <v>0</v>
      </c>
      <c r="AE19" s="134">
        <f t="shared" si="18"/>
        <v>0</v>
      </c>
      <c r="AF19" s="134">
        <f t="shared" si="18"/>
        <v>0</v>
      </c>
      <c r="AG19" s="134">
        <f t="shared" si="18"/>
        <v>49</v>
      </c>
      <c r="AH19" s="134">
        <f t="shared" si="18"/>
        <v>28</v>
      </c>
      <c r="AI19" s="134">
        <f t="shared" si="18"/>
        <v>31</v>
      </c>
      <c r="AJ19" s="134">
        <f t="shared" si="18"/>
        <v>46</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1292</v>
      </c>
      <c r="AZ19" s="134">
        <f>SUBTOTAL(9,AZ9:AZ18)</f>
        <v>553</v>
      </c>
      <c r="BA19" s="134">
        <f>SUBTOTAL(9,BA9:BA18)</f>
        <v>496</v>
      </c>
      <c r="BB19" s="134">
        <f>SUBTOTAL(9,BB9:BB18)</f>
        <v>1352</v>
      </c>
      <c r="BC19" s="135">
        <f>SUBTOTAL(9,BC9:BC18)</f>
        <v>82</v>
      </c>
      <c r="BD19" s="216">
        <f>IF(ISNUMBER(BA19/AZ19),BA19/AZ19," - ")</f>
        <v>0.89692585895117538</v>
      </c>
      <c r="BE19" s="213">
        <f>IF(ISNUMBER(BB19/BA19),BB19/BA19, " - ")</f>
        <v>2.725806451612903</v>
      </c>
      <c r="BF19" s="213">
        <f>IF(ISNUMBER(BC19/BA19),BC19/BA19, " - ")</f>
        <v>0.16532258064516128</v>
      </c>
      <c r="BG19" s="135">
        <f>IF(ISNUMBER((AY19+AZ19)/BA19),(AY19+AZ19)/BA19," - ")</f>
        <v>3.719758064516129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V4/rR8wHRfm/UxI5T1IB95dskcsMc/sePkk6HQpu+s3huqD77ElbofB0ynWM5h3Oxyoot9yFmJ0sxT4L58Nlw==" saltValue="Vk4Hle64kk8PpRzHScg0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EFf8sisHTZW3upwEXYp075G8/bx9z3GRL2d5J2L4n9DPsogL1oeNTKjrQfS4wCeSzdoRg472BzKE5ih90GsHQ==" saltValue="OrTeZvCWDSS6oAdudow4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CORCUBION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16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v>
      </c>
      <c r="O12" s="337"/>
      <c r="P12" s="337"/>
      <c r="Q12" s="229">
        <f>IF(ISNUMBER(Datos!P12),Datos!P12,0)</f>
        <v>48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628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85</v>
      </c>
      <c r="BD12" s="232">
        <f>IF(ISNUMBER(Datos!N12),Datos!N12," - ")</f>
        <v>111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0.73737373737373735</v>
      </c>
      <c r="BH12" s="263">
        <f>IF(ISNUMBER(((IF(J_V="SI",Datos!L12/Datos!K12,(Datos!L12+Datos!AB12)/(Datos!K12+Datos!AA12)))*11)/factor_trimestre),((IF(J_V="SI",Datos!L12/Datos!K12,(Datos!L12+Datos!AB12)/(Datos!K12+Datos!AA12)))*11)/factor_trimestre," - ")</f>
        <v>14.527397260273974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-5.7057057057057055E-2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42</v>
      </c>
      <c r="O13" s="903">
        <f t="shared" si="0"/>
        <v>0</v>
      </c>
      <c r="P13" s="903">
        <f t="shared" si="0"/>
        <v>0</v>
      </c>
      <c r="Q13" s="902">
        <f t="shared" si="0"/>
        <v>48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86</v>
      </c>
      <c r="AD13" s="902">
        <f t="shared" si="1"/>
        <v>0</v>
      </c>
      <c r="AE13" s="902">
        <f t="shared" si="1"/>
        <v>0</v>
      </c>
      <c r="AF13" s="902">
        <f t="shared" si="1"/>
        <v>16</v>
      </c>
      <c r="AG13" s="902">
        <f t="shared" si="1"/>
        <v>0</v>
      </c>
      <c r="AH13" s="902">
        <f t="shared" si="1"/>
        <v>43</v>
      </c>
      <c r="AI13" s="902">
        <f t="shared" si="1"/>
        <v>0</v>
      </c>
      <c r="AJ13" s="902">
        <f t="shared" si="1"/>
        <v>0</v>
      </c>
      <c r="AK13" s="902">
        <f t="shared" si="1"/>
        <v>0</v>
      </c>
      <c r="AL13" s="902">
        <f t="shared" si="1"/>
        <v>0</v>
      </c>
      <c r="AM13" s="902">
        <f t="shared" si="1"/>
        <v>628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91</v>
      </c>
      <c r="BD13" s="902">
        <f t="shared" si="1"/>
        <v>111</v>
      </c>
      <c r="BE13" s="902">
        <f t="shared" si="1"/>
        <v>0</v>
      </c>
      <c r="BF13" s="902">
        <f t="shared" si="1"/>
        <v>0</v>
      </c>
      <c r="BG13" s="902">
        <f>IF(ISNUMBER(Datos!K13/Datos!J13),Datos!K13/Datos!J13," - ")</f>
        <v>0.7078651685393258</v>
      </c>
      <c r="BH13" s="906">
        <f>IF(ISNUMBER(((Datos!L13/Datos!K13)*11)/factor_trimestre),((Datos!L13/Datos!K13)*11)/factor_trimestre," - ")</f>
        <v>16.511904761904763</v>
      </c>
      <c r="BI13" s="902">
        <f>IF(ISNUMBER('Resol  Asuntos'!D13/NºAsuntos!G13),'Resol  Asuntos'!D13/NºAsuntos!G13," - ")</f>
        <v>0.30536912751677853</v>
      </c>
      <c r="BJ13" s="902" t="str">
        <f>IF(ISNUMBER(Datos!CI13/Datos!CJ13),Datos!CI13/Datos!CJ13," - ")</f>
        <v xml:space="preserve"> - </v>
      </c>
      <c r="BK13" s="902">
        <f>SUBTOTAL(9,BK8:BK12)</f>
        <v>0</v>
      </c>
      <c r="BL13" s="902">
        <f>IF(ISNUMBER((I13-AB13+L13)/(F13)),(I13-AB13+L13)/(F13)," - ")</f>
        <v>-0.3</v>
      </c>
      <c r="BM13" s="907">
        <f>SUBTOTAL(9,BM9:BM12)</f>
        <v>-5.7057057057057055E-2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672</v>
      </c>
      <c r="G16" s="601">
        <f>IF(ISNUMBER(IF(D_I="SI",Datos!I16,Datos!I16+Datos!AC16)),IF(D_I="SI",Datos!I16,Datos!I16+Datos!AC16)," - ")</f>
        <v>672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240</v>
      </c>
      <c r="AC16" s="229">
        <f>IF(ISNUMBER(Datos!Q16),Datos!Q16," - ")</f>
        <v>3</v>
      </c>
      <c r="AD16" s="337"/>
      <c r="AE16" s="487"/>
      <c r="AF16" s="599">
        <f>IF(ISNUMBER(IF(D_I="SI",Datos!L16,Datos!L16+Datos!AF16)),IF(D_I="SI",Datos!L16,Datos!L16+Datos!AF16)," - ")</f>
        <v>639</v>
      </c>
      <c r="AG16" s="337"/>
      <c r="AH16" s="337"/>
      <c r="AI16" s="337"/>
      <c r="AJ16" s="337"/>
      <c r="AK16" s="337"/>
      <c r="AL16" s="482"/>
      <c r="AM16" s="338">
        <f>IF(ISNUMBER(Datos!R16),Datos!R16," - ")</f>
        <v>64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v>
      </c>
      <c r="BD16" s="232">
        <f>IF(ISNUMBER(Datos!N16),Datos!N16," - ")</f>
        <v>164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1.1594202898550725</v>
      </c>
      <c r="BH16" s="263">
        <f>IF(ISNUMBER(((IF(D_I="SI",Datos!L16/Datos!K16,(Datos!L16+Datos!AF16)/(Datos!K16+Datos!AE16)))*11)/factor_trimestre),((IF(D_I="SI",Datos!L16/Datos!K16,(Datos!L16+Datos!AF16)/(Datos!K16+Datos!AE16)))*11)/factor_trimestre," - ")</f>
        <v>7.9875000000000007</v>
      </c>
      <c r="BI16" s="246">
        <f>IF(ISNUMBER('Resol  Asuntos'!D16/NºAsuntos!G16),'Resol  Asuntos'!D16/NºAsuntos!G16," - ")</f>
        <v>0.125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v>
      </c>
      <c r="AC17" s="229">
        <f>IF(ISNUMBER(Datos!Q17),Datos!Q17," - ")</f>
        <v>0</v>
      </c>
      <c r="AD17" s="337"/>
      <c r="AE17" s="487"/>
      <c r="AF17" s="335">
        <f>IF(ISNUMBER(Datos!L17),Datos!L17,"-")</f>
        <v>70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0.41666666666666669</v>
      </c>
      <c r="BH17" s="263">
        <f>IF(ISNUMBER(((IF(D_I="SI",Datos!L17/Datos!K17,(Datos!L17+Datos!AF17)/(Datos!K17+Datos!AE17)))*11)/factor_trimestre),((IF(D_I="SI",Datos!L17/Datos!K17,(Datos!L17+Datos!AF17)/(Datos!K17+Datos!AE17)))*11)/factor_trimestre," - ")</f>
        <v>21</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672</v>
      </c>
      <c r="G18" s="901">
        <f>SUBTOTAL(9,G15:G17)</f>
        <v>728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250</v>
      </c>
      <c r="AC18" s="902">
        <f t="shared" si="4"/>
        <v>3</v>
      </c>
      <c r="AD18" s="902">
        <f t="shared" si="4"/>
        <v>0</v>
      </c>
      <c r="AE18" s="902">
        <f t="shared" si="4"/>
        <v>0</v>
      </c>
      <c r="AF18" s="902">
        <f t="shared" si="4"/>
        <v>709</v>
      </c>
      <c r="AG18" s="902">
        <f t="shared" si="4"/>
        <v>0</v>
      </c>
      <c r="AH18" s="902">
        <f t="shared" si="4"/>
        <v>0</v>
      </c>
      <c r="AI18" s="902">
        <f t="shared" si="4"/>
        <v>0</v>
      </c>
      <c r="AJ18" s="902">
        <f t="shared" si="4"/>
        <v>0</v>
      </c>
      <c r="AK18" s="902">
        <f t="shared" si="4"/>
        <v>0</v>
      </c>
      <c r="AL18" s="902">
        <f t="shared" si="4"/>
        <v>0</v>
      </c>
      <c r="AM18" s="902">
        <f t="shared" si="4"/>
        <v>64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v>
      </c>
      <c r="BD18" s="902">
        <f t="shared" si="4"/>
        <v>190</v>
      </c>
      <c r="BE18" s="902">
        <f t="shared" si="4"/>
        <v>0</v>
      </c>
      <c r="BF18" s="902">
        <f t="shared" si="4"/>
        <v>0</v>
      </c>
      <c r="BG18" s="902">
        <f>IF(ISNUMBER(Datos!K18/Datos!J18),Datos!K18/Datos!J18," - ")</f>
        <v>1.0822510822510822</v>
      </c>
      <c r="BH18" s="906">
        <f>IF(ISNUMBER(((Datos!L18/Datos!K18)*11)/factor_trimestre),((Datos!L18/Datos!K18)*11)/factor_trimestre," - ")</f>
        <v>8.5079999999999991</v>
      </c>
      <c r="BI18" s="902">
        <f>SUBTOTAL(9,BI15:BI17)</f>
        <v>0.22500000000000001</v>
      </c>
      <c r="BJ18" s="902">
        <f>SUBTOTAL(9,BJ15:BJ17)</f>
        <v>0</v>
      </c>
      <c r="BK18" s="902">
        <f>SUBTOTAL(9,BK15:BK17)</f>
        <v>0</v>
      </c>
      <c r="BL18" s="902">
        <f>IF(ISNUMBER((I18-AB18+L18)/(F18)),(I18-AB18+L18)/(F18)," - ")</f>
        <v>-0.37202380952380953</v>
      </c>
      <c r="BM18" s="908">
        <f>IF(ISNUMBER((Datos!P18-Datos!Q18)/(Datos!R18-Datos!P18+Datos!Q18)),(Datos!P18-Datos!Q18)/(Datos!R18-Datos!P18+Datos!Q18)," - ")</f>
        <v>4.9180327868852458E-2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692</v>
      </c>
      <c r="G19" s="823">
        <f t="shared" si="6"/>
        <v>748</v>
      </c>
      <c r="H19" s="825">
        <f t="shared" si="6"/>
        <v>0</v>
      </c>
      <c r="I19" s="823">
        <f t="shared" si="6"/>
        <v>0</v>
      </c>
      <c r="J19" s="825">
        <f t="shared" si="6"/>
        <v>0</v>
      </c>
      <c r="K19" s="825">
        <f t="shared" si="6"/>
        <v>0</v>
      </c>
      <c r="L19" s="884">
        <f t="shared" si="6"/>
        <v>0</v>
      </c>
      <c r="M19" s="884">
        <f t="shared" si="6"/>
        <v>0</v>
      </c>
      <c r="N19" s="884">
        <f t="shared" si="6"/>
        <v>42</v>
      </c>
      <c r="O19" s="884">
        <f t="shared" si="6"/>
        <v>0</v>
      </c>
      <c r="P19" s="884">
        <f t="shared" si="6"/>
        <v>0</v>
      </c>
      <c r="Q19" s="825">
        <f t="shared" si="6"/>
        <v>54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256</v>
      </c>
      <c r="AC19" s="824">
        <f t="shared" si="7"/>
        <v>89</v>
      </c>
      <c r="AD19" s="824">
        <f t="shared" si="7"/>
        <v>0</v>
      </c>
      <c r="AE19" s="824">
        <f t="shared" si="7"/>
        <v>0</v>
      </c>
      <c r="AF19" s="831">
        <f t="shared" si="7"/>
        <v>725</v>
      </c>
      <c r="AG19" s="831">
        <f t="shared" si="7"/>
        <v>0</v>
      </c>
      <c r="AH19" s="831">
        <f t="shared" si="7"/>
        <v>43</v>
      </c>
      <c r="AI19" s="831">
        <f t="shared" si="7"/>
        <v>0</v>
      </c>
      <c r="AJ19" s="824">
        <f t="shared" si="7"/>
        <v>0</v>
      </c>
      <c r="AK19" s="831">
        <f t="shared" si="7"/>
        <v>0</v>
      </c>
      <c r="AL19" s="831">
        <f t="shared" si="7"/>
        <v>0</v>
      </c>
      <c r="AM19" s="831">
        <f t="shared" si="7"/>
        <v>692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122</v>
      </c>
      <c r="BD19" s="823">
        <f t="shared" si="7"/>
        <v>301</v>
      </c>
      <c r="BE19" s="823">
        <f t="shared" si="7"/>
        <v>0</v>
      </c>
      <c r="BF19" s="833">
        <f t="shared" si="7"/>
        <v>0</v>
      </c>
      <c r="BG19" s="918">
        <f>IF(ISNUMBER(Datos!K19/Datos!J19),Datos!K19/Datos!J19," - ")</f>
        <v>0.85519591141396933</v>
      </c>
      <c r="BH19" s="918">
        <f>IF(ISNUMBER(((Datos!L19/Datos!K19)*11)/factor_trimestre),((Datos!L19/Datos!K19)*11)/factor_trimestre," - ")</f>
        <v>12.525896414342629</v>
      </c>
      <c r="BI19" s="816">
        <f>IF(ISNUMBER(Datos!J19/Datos!I19),Datos!J19/Datos!I19," - ")</f>
        <v>0.29189457981103928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-0.36994219653179189</v>
      </c>
      <c r="BM19" s="892">
        <f>IF(ISNUMBER((Datos!P19-Datos!Q19+R19)/(Datos!R19-Datos!P19+Datos!Q19-R19)),(Datos!P19-Datos!Q19+R19)/(Datos!R19-Datos!P19+Datos!Q19-R19)," - ")</f>
        <v>-4.8143053645116916E-2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376.432375511636</v>
      </c>
      <c r="G21" s="555">
        <f>IF(ISNUMBER(STDEV(G8:G18)),STDEV(G8:G18),"-")</f>
        <v>366.70860366236298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130.23363620816244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38.681606309286934</v>
      </c>
      <c r="BD21" s="554"/>
      <c r="BE21" s="554">
        <f>IF(ISNUMBER(STDEV(BE8:BE18)),STDEV(BE8:BE18),"-")</f>
        <v>0</v>
      </c>
      <c r="BF21" s="559">
        <f>IF(ISNUMBER(STDEV(BF8:BF18)),STDEV(BF8:BF18),"-")</f>
        <v>0</v>
      </c>
      <c r="BG21" s="778">
        <f>IF(ISNUMBER(STDEV(BG8:BG18)),STDEV(BG8:BG18),"-")</f>
        <v>0.92992395551750506</v>
      </c>
      <c r="BH21" s="779">
        <f>IF(ISNUMBER(STDEV(BH8:BH18)),STDEV(BH8:BH18),"-")</f>
        <v>5.4518223897154519</v>
      </c>
      <c r="BI21" s="252">
        <f>IF(ISNUMBER(STDEV(BI8:BI18)),STDEV(BI8:BI18),"-")</f>
        <v>9.461267416682563E-2</v>
      </c>
      <c r="BJ21" s="233" t="str">
        <f>IF(ISNUMBER(BL21/BM21),BL21/BM21," - ")</f>
        <v xml:space="preserve"> - </v>
      </c>
      <c r="BK21" s="578"/>
      <c r="BL21" s="562">
        <f>IF(ISNUMBER(STDEV(BL8:BL18)),STDEV(BL8:BL18),"-")</f>
        <v>5.0928524121173643E-2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25TUbVg3v0YYl8BsFfeXxsQSUfj613cYZf4WK4eDNhWJalVodxX0pufwREFfT7Bkvgpt5s2u7LrUB4Iz9QWpA==" saltValue="esRdN3vWXZdFU2eorvMY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CORCUBION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16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v>
      </c>
      <c r="AA12" s="335" t="str">
        <f>IF(ISNUMBER(IF(J_V="SI",Datos!L12,Datos!L12+Datos!AB12)-IF(Monitorios="SI",Datos!CD12,0)),
                          IF(J_V="SI",Datos!L12,Datos!L12+Datos!AB12)-IF(Monitorios="SI",Datos!CD12,0),
                          " - ")</f>
        <v xml:space="preserve"> - </v>
      </c>
      <c r="AB12" s="337"/>
      <c r="AC12" s="337"/>
      <c r="AD12" s="487"/>
      <c r="AE12" s="487">
        <f>IF(ISNUMBER(Datos!R12),Datos!R12," - ")</f>
        <v>628</v>
      </c>
      <c r="AF12" s="232" t="str">
        <f>IF(ISNUMBER(Datos!BV12),Datos!BV12," - ")</f>
        <v xml:space="preserve"> - </v>
      </c>
      <c r="AG12" s="228" t="str">
        <f>IF(ISNUMBER(Datos!DV12),Datos!DV12," - ")</f>
        <v xml:space="preserve"> - </v>
      </c>
      <c r="AH12" s="301"/>
      <c r="AI12" s="230"/>
      <c r="AJ12" s="228">
        <f>IF(ISNUMBER(Datos!M12),Datos!M12," - ")</f>
        <v>85</v>
      </c>
      <c r="AK12" s="232">
        <f>IF(ISNUMBER(Datos!N12),Datos!N12," - ")</f>
        <v>111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14.527397260273974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-5.7057057057057055E-2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48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86</v>
      </c>
      <c r="AA13" s="903">
        <f t="shared" si="2"/>
        <v>16</v>
      </c>
      <c r="AB13" s="903">
        <f t="shared" si="2"/>
        <v>0</v>
      </c>
      <c r="AC13" s="903">
        <f t="shared" si="2"/>
        <v>0</v>
      </c>
      <c r="AD13" s="903">
        <f t="shared" si="2"/>
        <v>0</v>
      </c>
      <c r="AE13" s="903">
        <f t="shared" si="2"/>
        <v>628</v>
      </c>
      <c r="AF13" s="911">
        <f t="shared" si="2"/>
        <v>0</v>
      </c>
      <c r="AG13" s="911">
        <f t="shared" si="2"/>
        <v>0</v>
      </c>
      <c r="AH13" s="911">
        <f t="shared" si="2"/>
        <v>0</v>
      </c>
      <c r="AI13" s="911">
        <f t="shared" si="2"/>
        <v>0</v>
      </c>
      <c r="AJ13" s="911">
        <f t="shared" si="2"/>
        <v>91</v>
      </c>
      <c r="AK13" s="911">
        <f t="shared" si="2"/>
        <v>111</v>
      </c>
      <c r="AL13" s="911">
        <f t="shared" si="2"/>
        <v>0</v>
      </c>
      <c r="AM13" s="911">
        <f t="shared" si="2"/>
        <v>0</v>
      </c>
      <c r="AN13" s="911">
        <f t="shared" si="2"/>
        <v>0</v>
      </c>
      <c r="AO13" s="907">
        <f>IF(ISNUMBER(((NºAsuntos!I13/NºAsuntos!G13)*11)/factor_trimestre),((NºAsuntos!I13/NºAsuntos!G13)*11)/factor_trimestre," - ")</f>
        <v>14.395973154362416</v>
      </c>
      <c r="AP13" s="913" t="str">
        <f>IF(ISNUMBER(Datos!CI13/Datos!CJ13),Datos!CI13/Datos!CJ13," - ")</f>
        <v xml:space="preserve"> - </v>
      </c>
      <c r="AQ13" s="931">
        <f t="shared" ref="AQ13:AV13" si="3">SUBTOTAL(9,AQ9:AQ12)</f>
        <v>0</v>
      </c>
      <c r="AR13" s="931">
        <f t="shared" si="3"/>
        <v>-5.7057057057057055E-2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672</v>
      </c>
      <c r="G16" s="228">
        <f>IF(ISNUMBER(IF(D_I="SI",Datos!I16,Datos!I16+Datos!AC16)),IF(D_I="SI",Datos!I16,Datos!I16+Datos!AC16)," - ")</f>
        <v>672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240</v>
      </c>
      <c r="Z16" s="622">
        <f>IF(ISNUMBER(Datos!Q16),Datos!Q16," - ")</f>
        <v>3</v>
      </c>
      <c r="AA16" s="335">
        <f>IF(ISNUMBER(IF(D_I="SI",Datos!L16,Datos!L16+Datos!AF16)),IF(D_I="SI",Datos!L16,Datos!L16+Datos!AF16)," - ")</f>
        <v>639</v>
      </c>
      <c r="AB16" s="337"/>
      <c r="AC16" s="337"/>
      <c r="AD16" s="487"/>
      <c r="AE16" s="487">
        <f>IF(ISNUMBER(Datos!R16),Datos!R16," - ")</f>
        <v>64</v>
      </c>
      <c r="AF16" s="232" t="str">
        <f>IF(ISNUMBER(Datos!BV16),Datos!BV16," - ")</f>
        <v xml:space="preserve"> - </v>
      </c>
      <c r="AG16" s="228"/>
      <c r="AH16" s="301"/>
      <c r="AI16" s="230"/>
      <c r="AJ16" s="228">
        <f>IF(ISNUMBER(Datos!M16),Datos!M16," - ")</f>
        <v>30</v>
      </c>
      <c r="AK16" s="232">
        <f>IF(ISNUMBER(Datos!N16),Datos!N16," - ")</f>
        <v>164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7.9875000000000007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v>
      </c>
      <c r="Z17" s="622">
        <f>IF(ISNUMBER(Datos!Q17),Datos!Q17," - ")</f>
        <v>0</v>
      </c>
      <c r="AA17" s="335">
        <f>IF(ISNUMBER(Datos!L17),Datos!L17,"-")</f>
        <v>70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672</v>
      </c>
      <c r="G18" s="901">
        <f>SUBTOTAL(9,G15:G17)</f>
        <v>728</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250</v>
      </c>
      <c r="Z18" s="935">
        <f t="shared" si="5"/>
        <v>3</v>
      </c>
      <c r="AA18" s="935">
        <f t="shared" si="5"/>
        <v>709</v>
      </c>
      <c r="AB18" s="935">
        <f t="shared" si="5"/>
        <v>0</v>
      </c>
      <c r="AC18" s="935">
        <f t="shared" si="5"/>
        <v>0</v>
      </c>
      <c r="AD18" s="935">
        <f t="shared" si="5"/>
        <v>0</v>
      </c>
      <c r="AE18" s="935">
        <f t="shared" si="5"/>
        <v>64</v>
      </c>
      <c r="AF18" s="935">
        <f t="shared" si="5"/>
        <v>0</v>
      </c>
      <c r="AG18" s="935">
        <f t="shared" si="5"/>
        <v>0</v>
      </c>
      <c r="AH18" s="935">
        <f t="shared" si="5"/>
        <v>0</v>
      </c>
      <c r="AI18" s="935">
        <f t="shared" si="5"/>
        <v>0</v>
      </c>
      <c r="AJ18" s="935">
        <f t="shared" si="5"/>
        <v>31</v>
      </c>
      <c r="AK18" s="935">
        <f t="shared" si="5"/>
        <v>190</v>
      </c>
      <c r="AL18" s="935">
        <f t="shared" si="5"/>
        <v>0</v>
      </c>
      <c r="AM18" s="935">
        <f t="shared" si="5"/>
        <v>0</v>
      </c>
      <c r="AN18" s="935">
        <f t="shared" si="5"/>
        <v>0</v>
      </c>
      <c r="AO18" s="937">
        <f>IF(ISNUMBER(((NºAsuntos!I18/NºAsuntos!G18)*11)/factor_trimestre),((NºAsuntos!I18/NºAsuntos!G18)*11)/factor_trimestre," - ")</f>
        <v>8.5079999999999991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692</v>
      </c>
      <c r="G19" s="823">
        <f t="shared" si="7"/>
        <v>748</v>
      </c>
      <c r="H19" s="824">
        <f t="shared" si="7"/>
        <v>0</v>
      </c>
      <c r="I19" s="823">
        <f t="shared" si="7"/>
        <v>0</v>
      </c>
      <c r="J19" s="825">
        <f t="shared" si="7"/>
        <v>0</v>
      </c>
      <c r="K19" s="823">
        <f t="shared" si="7"/>
        <v>0</v>
      </c>
      <c r="L19" s="826">
        <f t="shared" si="7"/>
        <v>0</v>
      </c>
      <c r="M19" s="823">
        <f t="shared" si="7"/>
        <v>0</v>
      </c>
      <c r="N19" s="824">
        <f t="shared" si="7"/>
        <v>54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256</v>
      </c>
      <c r="Z19" s="830">
        <f t="shared" si="8"/>
        <v>89</v>
      </c>
      <c r="AA19" s="831">
        <f t="shared" si="8"/>
        <v>725</v>
      </c>
      <c r="AB19" s="831">
        <f t="shared" si="8"/>
        <v>0</v>
      </c>
      <c r="AC19" s="831">
        <f t="shared" si="8"/>
        <v>0</v>
      </c>
      <c r="AD19" s="832">
        <f t="shared" si="8"/>
        <v>0</v>
      </c>
      <c r="AE19" s="832">
        <f t="shared" si="8"/>
        <v>692</v>
      </c>
      <c r="AF19" s="833">
        <f t="shared" si="8"/>
        <v>0</v>
      </c>
      <c r="AG19" s="834">
        <f t="shared" si="8"/>
        <v>0</v>
      </c>
      <c r="AH19" s="835">
        <f t="shared" si="8"/>
        <v>0</v>
      </c>
      <c r="AI19" s="833">
        <f t="shared" si="8"/>
        <v>0</v>
      </c>
      <c r="AJ19" s="823">
        <f t="shared" si="8"/>
        <v>122</v>
      </c>
      <c r="AK19" s="823">
        <f t="shared" si="8"/>
        <v>301</v>
      </c>
      <c r="AL19" s="823">
        <f t="shared" si="8"/>
        <v>0</v>
      </c>
      <c r="AM19" s="836">
        <f t="shared" si="8"/>
        <v>0</v>
      </c>
      <c r="AN19" s="826">
        <f>IF(ISNUMBER(Datos!K19/Datos!J19),Datos!K19/Datos!J19," - ")</f>
        <v>0.85519591141396933</v>
      </c>
      <c r="AO19" s="826">
        <f>IF(ISNUMBER(FIND("06",Criterios!A8,1)),(IF(ISNUMBER(((Datos!R19/Datos!Q19)*11)/factor_trimestre),((Datos!R19/Datos!Q19)*11)/factor_trimestre," - ")),(IF(ISNUMBER(((Datos!L19/Datos!K19)*11)/factor_trimestre),((Datos!L19/Datos!K19)*11)/factor_trimestre," - ")))</f>
        <v>12.525896414342629</v>
      </c>
      <c r="AP19" s="837" t="str">
        <f>IF(ISNUMBER(Datos!CI19/Datos!CJ19),Datos!CI19/Datos!CJ19," - ")</f>
        <v xml:space="preserve"> - </v>
      </c>
      <c r="AQ19" s="837">
        <f>IF(OR(ISNUMBER(FIND("01",Criterios!A8,1)),ISNUMBER(FIND("02",Criterios!A8,1)),ISNUMBER(FIND("03",Criterios!A8,1)),ISNUMBER(FIND("04",Criterios!A8,1))),(J19-Y19+K19)/(F19-K19),(I19-Y19+K19)/(F19-K19))</f>
        <v>-0.36994219653179189</v>
      </c>
      <c r="AR19" s="837">
        <f>IF(ISNUMBER((Datos!P19-Datos!Q19+O19)/(Datos!R19-Datos!P19+Datos!Q19-O19)),(Datos!P19-Datos!Q19+O19)/(Datos!R19-Datos!P19+Datos!Q19-O19)," - ")</f>
        <v>-4.8143053645116916E-2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376.432375511636</v>
      </c>
      <c r="G21" s="555">
        <f>IF(ISNUMBER(STDEV(G8:G18)),STDEV(G8:G18),"-")</f>
        <v>366.70860366236298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38.681606309286934</v>
      </c>
      <c r="AK21" s="255"/>
      <c r="AL21" s="255">
        <f>IF(ISNUMBER(STDEV(AL8:AL18)),STDEV(AL8:AL18),"-")</f>
        <v>0</v>
      </c>
      <c r="AM21" s="257">
        <f>IF(ISNUMBER(STDEV(AM8:AM18)),STDEV(AM8:AM18),"-")</f>
        <v>0</v>
      </c>
      <c r="AN21" s="542">
        <f>IF(ISNUMBER(STDEV(AN8:AN18)),STDEV(AN8:AN18),"-")</f>
        <v>0</v>
      </c>
      <c r="AO21" s="543">
        <f>IF(ISNUMBER(STDEV(AO8:AO18)),STDEV(AO8:AO18),"-")</f>
        <v>5.223935084535384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zbEcgUs221be5bDNBabKrVPe7Uq+9HgX0wfzkIUAZbAU3Jvt6xY9zwAlzb6VGL3D7wRGK1BWy/NeTIHEwdA9g==" saltValue="I12GV627NHgEftrfjhUO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6Xe8ub9VBS6f67nLEbCOcwWW6JFC6KU9rY7DtL2TUDC6iz0d3QxWST0U3MbP45jdVQSU74K2RX4u3ZvlwwvTsw==" saltValue="thvqFzRVOEOzHR+bQKEM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EXnEpdxVPrIUO/51aafFMs676KrH+Ec/wd+M8G8iqZaZ9asfmInp/MpKhDCZBmjT+bwEcQLfKpqeCLUnQP3g==" saltValue="2BdTBEfyGP+epgD3FPdF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CORCUBION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0.30536912751677853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0.21592858083213365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W6WwdG3rU5+L+EL76r0BXwjnUZdq/blHSQFz69xEW3PnVQhaxivVHoIEbSkFuf5JG3ll4mxrE6SjHCotuNVrA==" saltValue="8lDS3ukeG7/XrPwSuVqH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RPJtoEBTFQno4jeJp9jyr+saF3x/cS7TsmL8d8jJdwVM04Tv8PT5cN5Spc5ehvOgO++aJyvrgZsCMJsC6mYpw==" saltValue="hVnfxrBspkQxvcLOb6aM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CORCUBION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2</v>
      </c>
      <c r="F10" s="407">
        <f>IF(ISNUMBER(E10/B10),E10/B10," - ")</f>
        <v>2</v>
      </c>
      <c r="G10" s="406">
        <f>IF(ISNUMBER(Datos!K10),Datos!K10," - ")</f>
        <v>6</v>
      </c>
      <c r="H10" s="407">
        <f>IF(ISNUMBER(G10/B10),G10/B10," - ")</f>
        <v>6</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1310</v>
      </c>
      <c r="D12" s="407">
        <f>IF(ISNUMBER(C12/Datos!BH12),C12/Datos!BH12," - ")</f>
        <v>655</v>
      </c>
      <c r="E12" s="406">
        <f>IF(ISNUMBER(IF(J_V="SI",Datos!J12,Datos!J12+Datos!Z12)),IF(J_V="SI",Datos!J12,Datos!J12+Datos!Z12)," - ")</f>
        <v>396</v>
      </c>
      <c r="F12" s="407">
        <f>IF(ISNUMBER(E12/B12),E12/B12," - ")</f>
        <v>198</v>
      </c>
      <c r="G12" s="406">
        <f>IF(ISNUMBER(IF(J_V="SI",Datos!K12,Datos!K12+Datos!AA12)),IF(J_V="SI",Datos!K12,Datos!K12+Datos!AA12)," - ")</f>
        <v>292</v>
      </c>
      <c r="H12" s="407">
        <f>IF(ISNUMBER(G12/B12),G12/B12," - ")</f>
        <v>146</v>
      </c>
      <c r="I12" s="406">
        <f>IF(ISNUMBER(IF(J_V="SI",Datos!L12,Datos!L12+Datos!AB12)),IF(J_V="SI",Datos!L12,Datos!L12+Datos!AB12)," - ")</f>
        <v>1414</v>
      </c>
      <c r="J12" s="407">
        <f>IF(ISNUMBER(I12/B12),I12/B12," - ")</f>
        <v>707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1330</v>
      </c>
      <c r="D13" s="853" t="str">
        <f>IF(ISNUMBER(C13/Datos!BI13),C13/Datos!BI13," - ")</f>
        <v xml:space="preserve"> - </v>
      </c>
      <c r="E13" s="852">
        <f>SUBTOTAL(9,E8:E12)</f>
        <v>398</v>
      </c>
      <c r="F13" s="853">
        <f>IF(ISNUMBER(E13/B13),E13/B13," - ")</f>
        <v>199</v>
      </c>
      <c r="G13" s="852">
        <f>SUBTOTAL(9,G8:G12)</f>
        <v>298</v>
      </c>
      <c r="H13" s="853">
        <f>IF(ISNUMBER(G13/B13),G13/B13," - ")</f>
        <v>149</v>
      </c>
      <c r="I13" s="852">
        <f>SUBTOTAL(9,I8:I12)</f>
        <v>1430</v>
      </c>
      <c r="J13" s="853">
        <f>IF(ISNUMBER(I13/B13),I13/B13," - ")</f>
        <v>715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672</v>
      </c>
      <c r="D16" s="407">
        <f>IF(ISNUMBER(C16/Datos!BH16),C16/Datos!BH16," - ")</f>
        <v>336</v>
      </c>
      <c r="E16" s="406">
        <f>IF(ISNUMBER(IF(D_I="SI",Datos!J16,Datos!J16+Datos!AD16)),IF(D_I="SI",Datos!J16,Datos!J16+Datos!AD16)," - ")</f>
        <v>207</v>
      </c>
      <c r="F16" s="407">
        <f>IF(ISNUMBER(E16/B16),E16/B16," - ")</f>
        <v>103.5</v>
      </c>
      <c r="G16" s="406">
        <f>IF(ISNUMBER(IF(D_I="SI",Datos!K16,Datos!K16+Datos!AE16)),IF(D_I="SI",Datos!K16,Datos!K16+Datos!AE16)," - ")</f>
        <v>240</v>
      </c>
      <c r="H16" s="407">
        <f>IF(ISNUMBER(G16/B16),G16/B16," - ")</f>
        <v>120</v>
      </c>
      <c r="I16" s="406">
        <f>IF(ISNUMBER(IF(D_I="SI",Datos!L16,Datos!L16+Datos!AF16)),IF(D_I="SI",Datos!L16,Datos!L16+Datos!AF16)," - ")</f>
        <v>639</v>
      </c>
      <c r="J16" s="407">
        <f>IF(ISNUMBER(I16/B16),I16/B16," - ")</f>
        <v>319.5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56</v>
      </c>
      <c r="D17" s="407">
        <f>IF(ISNUMBER(C17/Datos!BH17),C17/Datos!BH17," - ")</f>
        <v>56</v>
      </c>
      <c r="E17" s="406">
        <f>IF(ISNUMBER(IF(D_I="SI",Datos!J17,Datos!J17+Datos!AD17)),IF(D_I="SI",Datos!J17,Datos!J17+Datos!AD17)," - ")</f>
        <v>24</v>
      </c>
      <c r="F17" s="407">
        <f>IF(ISNUMBER(E17/B17),E17/B17," - ")</f>
        <v>24</v>
      </c>
      <c r="G17" s="406">
        <f>IF(ISNUMBER(IF(D_I="SI",Datos!K17,Datos!K17+Datos!AE17)),IF(D_I="SI",Datos!K17,Datos!K17+Datos!AE17)," - ")</f>
        <v>10</v>
      </c>
      <c r="H17" s="407">
        <f>IF(ISNUMBER(G17/B17),G17/B17," - ")</f>
        <v>10</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728</v>
      </c>
      <c r="D18" s="853" t="str">
        <f>IF(ISNUMBER(C18/Datos!BI18),C18/Datos!BI18," - ")</f>
        <v xml:space="preserve"> - </v>
      </c>
      <c r="E18" s="852">
        <f>SUBTOTAL(9,E14:E17)</f>
        <v>231</v>
      </c>
      <c r="F18" s="853">
        <f>IF(ISNUMBER(E18/B18),E18/B18," - ")</f>
        <v>115.5</v>
      </c>
      <c r="G18" s="852">
        <f>SUBTOTAL(9,G14:G17)</f>
        <v>250</v>
      </c>
      <c r="H18" s="853">
        <f>IF(ISNUMBER(G18/B18),G18/B18," - ")</f>
        <v>125</v>
      </c>
      <c r="I18" s="852">
        <f>SUBTOTAL(9,I14:I17)</f>
        <v>709</v>
      </c>
      <c r="J18" s="853">
        <f>IF(ISNUMBER(I18/B18),I18/B18," - ")</f>
        <v>354.5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2058</v>
      </c>
      <c r="D19" s="798" t="str">
        <f>IF(ISNUMBER(C19/Datos!BI19),C19/Datos!BI19," - ")</f>
        <v xml:space="preserve"> - </v>
      </c>
      <c r="E19" s="797">
        <f>SUBTOTAL(9,E9:E18)</f>
        <v>629</v>
      </c>
      <c r="F19" s="798">
        <f>IF(ISNUMBER(E19/B19),E19/B19," - ")</f>
        <v>314.5</v>
      </c>
      <c r="G19" s="797">
        <f>SUBTOTAL(9,G9:G18)</f>
        <v>548</v>
      </c>
      <c r="H19" s="798">
        <f>IF(ISNUMBER(G19/B19),G19/B19," - ")</f>
        <v>274</v>
      </c>
      <c r="I19" s="797">
        <f>SUBTOTAL(9,I9:I18)</f>
        <v>2139</v>
      </c>
      <c r="J19" s="798">
        <f>IF(ISNUMBER(I19/B19),I19/B19," - ")</f>
        <v>1069.5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997OOd0womu4+rVy/pMy3w4u3PB8AdjbsI+xadfPoQEF2xgR+9ASbcqgXnDPgTGZD9tv0/nijPHBQ9bcPdPU6A==" saltValue="Tz5qknepfL8Gk/u7Y+S0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CORCUBION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85</v>
      </c>
      <c r="AM12" s="693">
        <f>IF(ISNUMBER(Datos!N12+DatosP!N16),Datos!N12+DatosP!N16," - ")</f>
        <v>111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14.527397260273974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-5.7057057057057055E-2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48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86</v>
      </c>
      <c r="AE13" s="942">
        <f t="shared" si="1"/>
        <v>0</v>
      </c>
      <c r="AF13" s="942">
        <f t="shared" si="1"/>
        <v>16</v>
      </c>
      <c r="AG13" s="942">
        <f t="shared" si="1"/>
        <v>0</v>
      </c>
      <c r="AH13" s="942">
        <f t="shared" si="1"/>
        <v>628</v>
      </c>
      <c r="AI13" s="942">
        <f t="shared" si="1"/>
        <v>0</v>
      </c>
      <c r="AJ13" s="942">
        <f t="shared" si="1"/>
        <v>0</v>
      </c>
      <c r="AK13" s="942">
        <f t="shared" si="1"/>
        <v>0</v>
      </c>
      <c r="AL13" s="942">
        <f t="shared" si="1"/>
        <v>91</v>
      </c>
      <c r="AM13" s="942">
        <f t="shared" si="1"/>
        <v>111</v>
      </c>
      <c r="AN13" s="942">
        <f t="shared" si="1"/>
        <v>0</v>
      </c>
      <c r="AO13" s="942">
        <f t="shared" si="1"/>
        <v>0</v>
      </c>
      <c r="AP13" s="947">
        <f>IF(ISNUMBER(((Datos!L13/Datos!K13)*11)/factor_trimestre),((Datos!L13/Datos!K13)*11)/factor_trimestre," - ")</f>
        <v>16.511904761904763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v>
      </c>
      <c r="AU13" s="942" t="str">
        <f>IF(ISNUMBER((DatosP!#REF!-DatosP!#REF!+DatosP!#REF!)/(DatosP!#REF!+DatosP!#REF!-DatosP!#REF!-DatosP!#REF!)),(DatosP!#REF!-DatosP!#REF!+DatosP!#REF!)/(DatosP!#REF!+DatosP!#REF!-DatosP!#REF!-DatosP!#REF!)," - ")</f>
        <v xml:space="preserve"> - </v>
      </c>
      <c r="AV13" s="948">
        <f>SUBTOTAL(9,AV9:AV12)</f>
        <v>-5.7057057057057055E-2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8.5079999999999991</v>
      </c>
      <c r="AQ18" s="947">
        <f>IF(ISNUMBER(((Datos!M18/Datos!L18)*11)/factor_trimestre),((Datos!M18/Datos!L18)*11)/factor_trimestre," - ")</f>
        <v>0.13117066290550072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4.9180327868852458E-2</v>
      </c>
      <c r="AW18" s="949">
        <f>IF(ISNUMBER((Datos!Q18-Datos!R18)/(Datos!S18-Datos!Q18+Datos!R18)),(Datos!Q18-Datos!R18)/(Datos!S18-Datos!Q18+Datos!R18)," - ")</f>
        <v>-0.13646532438478748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48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86</v>
      </c>
      <c r="AE19" s="960">
        <f t="shared" si="5"/>
        <v>0</v>
      </c>
      <c r="AF19" s="961">
        <f t="shared" si="5"/>
        <v>16</v>
      </c>
      <c r="AG19" s="961">
        <f t="shared" si="5"/>
        <v>0</v>
      </c>
      <c r="AH19" s="961">
        <f t="shared" si="5"/>
        <v>628</v>
      </c>
      <c r="AI19" s="961">
        <f t="shared" si="5"/>
        <v>0</v>
      </c>
      <c r="AJ19" s="962">
        <f t="shared" si="5"/>
        <v>0</v>
      </c>
      <c r="AK19" s="962">
        <f t="shared" si="5"/>
        <v>0</v>
      </c>
      <c r="AL19" s="954">
        <f t="shared" si="5"/>
        <v>91</v>
      </c>
      <c r="AM19" s="954">
        <f t="shared" si="5"/>
        <v>111</v>
      </c>
      <c r="AN19" s="954">
        <f t="shared" si="5"/>
        <v>0</v>
      </c>
      <c r="AO19" s="954">
        <f t="shared" si="5"/>
        <v>0</v>
      </c>
      <c r="AP19" s="954">
        <f>IF(ISNUMBER(((Datos!L19/Datos!K19)*11)/factor_trimestre),((Datos!L19/Datos!K19)*11)/factor_trimestre," - ")</f>
        <v>12.525896414342629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-4.8143053645116916E-2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49.196883370121462</v>
      </c>
      <c r="AM21" s="739"/>
      <c r="AN21" s="739">
        <f>IF(ISNUMBER(STDEV(AN8:AN18)),STDEV(AN8:AN18),"-")</f>
        <v>0</v>
      </c>
      <c r="AO21" s="745">
        <f>IF(ISNUMBER(STDEV(AO8:AO18)),STDEV(AO8:AO18),"-")</f>
        <v>0</v>
      </c>
      <c r="AP21" s="782">
        <f>IF(ISNUMBER(STDEV(AP8:AP18)),STDEV(AP8:AP18),"-")</f>
        <v>4.2773765958025658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R6DfPVDMrZFyIyQGBFD9NJDY6Miwg9IYn6lnfIAUTOePrPaOpyOhkE8BmvV/+F6riSnewa+6zObd+j0Ozvaeg==" saltValue="fQU1GsrCa06sYCJUyjD7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CORCUBION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l3oNtzpiT1hwY2g81Iqg2qL4oqitDd6PsGHqEpXBqMWRwLLhFLrVb0l8NEUoX3pINvKhtqd3WCNx81DgYH1fQ==" saltValue="N/SM3cYl2m+cBTXYFwl9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CORCUBION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85</v>
      </c>
      <c r="E12" s="407">
        <f t="shared" si="0"/>
        <v>42.5</v>
      </c>
      <c r="F12" s="406">
        <f>IF(ISNUMBER(Datos!N12),Datos!N12," - ")</f>
        <v>111</v>
      </c>
      <c r="G12" s="407">
        <f t="shared" si="1"/>
        <v>55.5</v>
      </c>
      <c r="H12" s="406">
        <f>IF(ISNUMBER(Datos!O12),Datos!O12," - ")</f>
        <v>126</v>
      </c>
      <c r="I12" s="407">
        <f t="shared" si="2"/>
        <v>63</v>
      </c>
    </row>
    <row r="13" spans="1:9" ht="14.25" thickTop="1" thickBot="1">
      <c r="A13" s="851" t="str">
        <f>Datos!A13</f>
        <v>TOTAL</v>
      </c>
      <c r="B13" s="852">
        <f>Datos!AO13</f>
        <v>3</v>
      </c>
      <c r="C13" s="854">
        <f>Datos!AR13</f>
        <v>2</v>
      </c>
      <c r="D13" s="852">
        <f>SUBTOTAL(9,D9:D12)</f>
        <v>91</v>
      </c>
      <c r="E13" s="853">
        <f t="shared" si="0"/>
        <v>30.333333333333332</v>
      </c>
      <c r="F13" s="852">
        <f>SUBTOTAL(9,F9:F12)</f>
        <v>111</v>
      </c>
      <c r="G13" s="853">
        <f t="shared" si="1"/>
        <v>37</v>
      </c>
      <c r="H13" s="852">
        <f>SUBTOTAL(9,H9:H12)</f>
        <v>126</v>
      </c>
      <c r="I13" s="853">
        <f>IF(ISNUMBER(H13/B13),H13/B13," - ")</f>
        <v>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30</v>
      </c>
      <c r="E16" s="407">
        <f t="shared" si="3"/>
        <v>15</v>
      </c>
      <c r="F16" s="406">
        <f>IF(ISNUMBER(Datos!N16),Datos!N16," - ")</f>
        <v>164</v>
      </c>
      <c r="G16" s="407">
        <f t="shared" si="4"/>
        <v>82</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26</v>
      </c>
      <c r="G17" s="407">
        <f>IF(ISNUMBER(F17/B17),F17/B17," - ")</f>
        <v>26</v>
      </c>
      <c r="H17" s="406">
        <f>IF(ISNUMBER(Datos!O17),Datos!O17," - ")</f>
        <v>0</v>
      </c>
      <c r="I17" s="407">
        <f t="shared" si="5"/>
        <v>0</v>
      </c>
    </row>
    <row r="18" spans="1:9" ht="14.25" thickTop="1" thickBot="1">
      <c r="A18" s="851" t="str">
        <f>Datos!A18</f>
        <v>TOTAL</v>
      </c>
      <c r="B18" s="852">
        <f>Datos!AO18</f>
        <v>3</v>
      </c>
      <c r="C18" s="854">
        <f>Datos!AR18</f>
        <v>2</v>
      </c>
      <c r="D18" s="852">
        <f>SUBTOTAL(9,D15:D17)</f>
        <v>31</v>
      </c>
      <c r="E18" s="853">
        <f t="shared" si="3"/>
        <v>10.333333333333334</v>
      </c>
      <c r="F18" s="852">
        <f>SUBTOTAL(9,F15:F17)</f>
        <v>190</v>
      </c>
      <c r="G18" s="853">
        <f t="shared" si="4"/>
        <v>63.333333333333336</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122</v>
      </c>
      <c r="E19" s="798">
        <f>IF(ISNUMBER(D19/B19),D19/B19," - ")</f>
        <v>61</v>
      </c>
      <c r="F19" s="797">
        <f>SUBTOTAL(9,F8:F18)</f>
        <v>301</v>
      </c>
      <c r="G19" s="798">
        <f>IF(ISNUMBER(F19/B19),F19/B19," - ")</f>
        <v>150.5</v>
      </c>
      <c r="H19" s="797">
        <f>SUBTOTAL(9,H8:H18)</f>
        <v>128</v>
      </c>
      <c r="I19" s="798">
        <f>IF(ISNUMBER(H19/B19),H19/B19," - ")</f>
        <v>64</v>
      </c>
    </row>
    <row r="22" spans="1:9">
      <c r="A22" s="394" t="str">
        <f>Criterios!A4</f>
        <v>Fecha Informe: 07 mar. 2024</v>
      </c>
    </row>
    <row r="27" spans="1:9">
      <c r="A27" s="417"/>
    </row>
  </sheetData>
  <sheetProtection algorithmName="SHA-512" hashValue="1GWdfjP/zJz9igkbmtxfRNJTBMcfl4w181R7YH50JsXpAiMwXIK6iMYDgoYw0nK8WKLAGHhIC2NXCoMyXBcRMw==" saltValue="yvp3OS5AL3NjBcmwk6gh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CORCUBION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48</v>
      </c>
      <c r="C12" s="437">
        <f>IF(ISNUMBER(Datos!Q12),Datos!Q12," - ")</f>
        <v>86</v>
      </c>
      <c r="D12" s="411">
        <f>IF(ISNUMBER(Datos!R12),Datos!R12," - ")</f>
        <v>628</v>
      </c>
    </row>
    <row r="13" spans="1:4" ht="14.25" thickTop="1" thickBot="1">
      <c r="A13" s="851" t="str">
        <f>Datos!A13</f>
        <v>TOTAL</v>
      </c>
      <c r="B13" s="852">
        <f>SUBTOTAL(9,B9:B12)</f>
        <v>48</v>
      </c>
      <c r="C13" s="856">
        <f>SUBTOTAL(9,C9:C12)</f>
        <v>86</v>
      </c>
      <c r="D13" s="854">
        <f>SUBTOTAL(9,D9:D12)</f>
        <v>628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3</v>
      </c>
      <c r="D16" s="411">
        <f>IF(ISNUMBER(Datos!R16),Datos!R16," - ")</f>
        <v>64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3</v>
      </c>
      <c r="D18" s="854">
        <f>SUBTOTAL(9,D15:D17)</f>
        <v>64</v>
      </c>
    </row>
    <row r="19" spans="1:4" ht="16.5" customHeight="1" thickTop="1" thickBot="1">
      <c r="A19" s="796" t="str">
        <f>Datos!A19</f>
        <v>TOTAL JURISDICCIONES</v>
      </c>
      <c r="B19" s="801">
        <f>SUBTOTAL(9,B8:B18)</f>
        <v>54</v>
      </c>
      <c r="C19" s="802">
        <f>SUBTOTAL(9,C8:C18)</f>
        <v>89</v>
      </c>
      <c r="D19" s="803">
        <f>SUBTOTAL(9,D8:D18)</f>
        <v>692</v>
      </c>
    </row>
    <row r="20" spans="1:4" ht="7.5" customHeight="1"/>
    <row r="21" spans="1:4" ht="6" customHeight="1"/>
    <row r="22" spans="1:4">
      <c r="A22" s="394" t="str">
        <f>Criterios!A4</f>
        <v>Fecha Informe: 07 mar. 2024</v>
      </c>
    </row>
    <row r="27" spans="1:4">
      <c r="A27" s="417"/>
    </row>
  </sheetData>
  <sheetProtection algorithmName="SHA-512" hashValue="jSjlO/vXE20/GgWwGtk8LN97xjRlTnQS5gZna/wFJ2RlH50Av7zJH/By64Tw8MHQhzhhjMv7Zb5WjoxGC9USJQ==" saltValue="6QEvDzwf/iX49koANhBr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CORCUBION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1.8571428571428572</v>
      </c>
      <c r="C10" s="459">
        <f>IF(ISNUMBER((Datos!J10-Datos!T10)/Datos!T10),(Datos!J10-Datos!T10)/Datos!T10," - ")</f>
        <v>0</v>
      </c>
      <c r="D10" s="459" t="str">
        <f>IF(ISNUMBER((Datos!K10-Datos!U10)/Datos!U10),(Datos!K10-Datos!U10)/Datos!U10," - ")</f>
        <v xml:space="preserve"> - </v>
      </c>
      <c r="E10" s="459">
        <f>IF(ISNUMBER((Datos!L10-Datos!V10)/Datos!V10),(Datos!L10-Datos!V10)/Datos!V10," - ")</f>
        <v>0.77777777777777779</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0.45717463848720802</v>
      </c>
      <c r="C12" s="459">
        <f>IF(ISNUMBER(
   IF(J_V="SI",(Datos!J12-Datos!T12)/Datos!T12,(Datos!J12+Datos!Z12-(Datos!T12+Datos!AH12))/(Datos!T12+Datos!AH12))
     ),IF(J_V="SI",(Datos!J12-Datos!T12)/Datos!T12,(Datos!J12+Datos!Z12-(Datos!T12+Datos!AH12))/(Datos!T12+Datos!AH12))," - ")</f>
        <v>0.375</v>
      </c>
      <c r="D12" s="459">
        <f>IF(ISNUMBER(
   IF(J_V="SI",(Datos!K12-Datos!U12)/Datos!U12,(Datos!K12+Datos!AA12-(Datos!U12+Datos!AI12))/(Datos!U12+Datos!AI12))
     ),IF(J_V="SI",(Datos!K12-Datos!U12)/Datos!U12,(Datos!K12+Datos!AA12-(Datos!U12+Datos!AI12))/(Datos!U12+Datos!AI12))," - ")</f>
        <v>0.26406926406926406</v>
      </c>
      <c r="E12" s="459">
        <f>IF(ISNUMBER(
   IF(J_V="SI",(Datos!L12-Datos!V12)/Datos!V12,(Datos!L12+Datos!AB12-(Datos!V12+Datos!AJ12))/(Datos!V12+Datos!AJ12))
     ),IF(J_V="SI",(Datos!L12-Datos!V12)/Datos!V12,(Datos!L12+Datos!AB12-(Datos!V12+Datos!AJ12))/(Datos!V12+Datos!AJ12))," - ")</f>
        <v>0.47907949790794979</v>
      </c>
      <c r="F12" s="459">
        <f>IF(ISNUMBER((Datos!M12-Datos!W12)/Datos!W12),(Datos!M12-Datos!W12)/Datos!W12," - ")</f>
        <v>0.18055555555555555</v>
      </c>
      <c r="G12" s="460">
        <f>IF(ISNUMBER((Datos!N12-Datos!X12)/Datos!X12),(Datos!N12-Datos!X12)/Datos!X12," - ")</f>
        <v>0.88135593220338981</v>
      </c>
      <c r="H12" s="458">
        <f>IF(ISNUMBER(((NºAsuntos!G12/NºAsuntos!E12)-Datos!BD12)/Datos!BD12),((NºAsuntos!G12/NºAsuntos!E12)-Datos!BD12)/Datos!BD12," - ")</f>
        <v>-8.0676898858717108E-2</v>
      </c>
      <c r="I12" s="459">
        <f>IF(ISNUMBER(((NºAsuntos!I12/NºAsuntos!G12)-Datos!BE12)/Datos!BE12),((NºAsuntos!I12/NºAsuntos!G12)-Datos!BE12)/Datos!BE12," - ")</f>
        <v>0.17009371238608365</v>
      </c>
      <c r="J12" s="464">
        <f>IF(ISNUMBER((('Resol  Asuntos'!D12/NºAsuntos!G12)-Datos!BF12)/Datos!BF12),(('Resol  Asuntos'!D12/NºAsuntos!G12)-Datos!BF12)/Datos!BF12," - ")</f>
        <v>0.13971441838866955</v>
      </c>
      <c r="K12" s="465">
        <f>IF(ISNUMBER((((NºAsuntos!C12+NºAsuntos!E12)/NºAsuntos!G12)-Datos!BG12)/Datos!BG12),(((NºAsuntos!C12+NºAsuntos!E12)/NºAsuntos!G12)-Datos!BG12)/Datos!BG12," - ")</f>
        <v>0.13699207164372026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0.46799116997792495</v>
      </c>
      <c r="C13" s="858">
        <f>IF(ISNUMBER(
   IF(J_V="SI",(Datos!J13-Datos!T13)/Datos!T13,(Datos!J13+Datos!Z13-(Datos!T13+Datos!AH13))/(Datos!T13+Datos!AH13))
     ),IF(J_V="SI",(Datos!J13-Datos!T13)/Datos!T13,(Datos!J13+Datos!Z13-(Datos!T13+Datos!AH13))/(Datos!T13+Datos!AH13))," - ")</f>
        <v>0.3724137931034483</v>
      </c>
      <c r="D13" s="858">
        <f>IF(ISNUMBER(
   IF(J_V="SI",(Datos!K13-Datos!U13)/Datos!U13,(Datos!K13+Datos!AA13-(Datos!U13+Datos!AI13))/(Datos!U13+Datos!AI13))
     ),IF(J_V="SI",(Datos!K13-Datos!U13)/Datos!U13,(Datos!K13+Datos!AA13-(Datos!U13+Datos!AI13))/(Datos!U13+Datos!AI13))," - ")</f>
        <v>0.29004329004329005</v>
      </c>
      <c r="E13" s="858">
        <f>IF(ISNUMBER(
   IF(J_V="SI",(Datos!L13-Datos!V13)/Datos!V13,(Datos!L13+Datos!AB13-(Datos!V13+Datos!AJ13))/(Datos!V13+Datos!AJ13))
     ),IF(J_V="SI",(Datos!L13-Datos!V13)/Datos!V13,(Datos!L13+Datos!AB13-(Datos!V13+Datos!AJ13))/(Datos!V13+Datos!AJ13))," - ")</f>
        <v>0.48186528497409326</v>
      </c>
      <c r="F13" s="859">
        <f>IF(ISNUMBER((Datos!M13-Datos!W13)/Datos!W13),(Datos!M13-Datos!W13)/Datos!W13," - ")</f>
        <v>0.2638888888888889</v>
      </c>
      <c r="G13" s="860">
        <f>IF(ISNUMBER((Datos!N13-Datos!X13)/Datos!X13),(Datos!N13-Datos!X13)/Datos!X13," - ")</f>
        <v>0.88135593220338981</v>
      </c>
      <c r="H13" s="860">
        <f>IF(ISNUMBER(((NºAsuntos!G13/NºAsuntos!E13)-Datos!BD13)/Datos!BD13),((NºAsuntos!G13/NºAsuntos!E13)-Datos!BD13)/Datos!BD13," - ")</f>
        <v>-6.0018708259914309E-2</v>
      </c>
      <c r="I13" s="860">
        <f>IF(ISNUMBER(((NºAsuntos!I13/NºAsuntos!G13)-Datos!BE13)/Datos!BE13),((NºAsuntos!I13/NºAsuntos!G13)-Datos!BE13)/Datos!BE13," - ")</f>
        <v>0.14869423096985071</v>
      </c>
      <c r="J13" s="860">
        <f>IF(ISNUMBER((('Resol  Asuntos'!D13/NºAsuntos!G13)-Datos!BF13)/Datos!BF13),(('Resol  Asuntos'!D13/NºAsuntos!G13)-Datos!BF13)/Datos!BF13," - ")</f>
        <v>0.19559777044704807</v>
      </c>
      <c r="K13" s="860">
        <f>IF(ISNUMBER((((NºAsuntos!C13+NºAsuntos!E13)/NºAsuntos!G13)-Datos!BG13)/Datos!BG13),(((NºAsuntos!C13+NºAsuntos!E13)/NºAsuntos!G13)-Datos!BG13)/Datos!BG13," - ")</f>
        <v>0.1199748602724966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0.86149584487534625</v>
      </c>
      <c r="C16" s="459">
        <f>IF(ISNUMBER(
   IF(D_I="SI",(Datos!J16-Datos!T16)/Datos!T16,(Datos!J16+Datos!AD16-(Datos!T16+Datos!AL16))/(Datos!T16+Datos!AL16))
     ),IF(D_I="SI",(Datos!J16-Datos!T16)/Datos!T16,(Datos!J16+Datos!AD16-(Datos!T16+Datos!AL16))/(Datos!T16+Datos!AL16))," - ")</f>
        <v>-0.16867469879518071</v>
      </c>
      <c r="D16" s="459">
        <f>IF(ISNUMBER(
   IF(D_I="SI",(Datos!K16-Datos!U16)/Datos!U16,(Datos!K16+Datos!AE16-(Datos!U16+Datos!AM16))/(Datos!U16+Datos!AM16))
     ),IF(D_I="SI",(Datos!K16-Datos!U16)/Datos!U16,(Datos!K16+Datos!AE16-(Datos!U16+Datos!AM16))/(Datos!U16+Datos!AM16))," - ")</f>
        <v>-7.3359073359073365E-2</v>
      </c>
      <c r="E16" s="459">
        <f>IF(ISNUMBER(
   IF(D_I="SI",(Datos!L16-Datos!V16)/Datos!V16,(Datos!L16+Datos!AF16-(Datos!V16+Datos!AN16))/(Datos!V16+Datos!AN16))
     ),IF(D_I="SI",(Datos!L16-Datos!V16)/Datos!V16,(Datos!L16+Datos!AF16-(Datos!V16+Datos!AN16))/(Datos!V16+Datos!AN16))," - ")</f>
        <v>0.80508474576271183</v>
      </c>
      <c r="F16" s="459">
        <f>IF(ISNUMBER((Datos!M16-Datos!W16)/Datos!W16),(Datos!M16-Datos!W16)/Datos!W16," - ")</f>
        <v>0.30434782608695654</v>
      </c>
      <c r="G16" s="460">
        <f>IF(ISNUMBER((Datos!N16-Datos!X16)/Datos!X16),(Datos!N16-Datos!X16)/Datos!X16," - ")</f>
        <v>8.6092715231788075E-2</v>
      </c>
      <c r="H16" s="458">
        <f>IF(ISNUMBER(((NºAsuntos!G16/NºAsuntos!E16)-Datos!BD16)/Datos!BD16),((NºAsuntos!G16/NºAsuntos!E16)-Datos!BD16)/Datos!BD16," - ")</f>
        <v>0.11465502769850594</v>
      </c>
      <c r="I16" s="459">
        <f>IF(ISNUMBER(((NºAsuntos!I16/NºAsuntos!G16)-Datos!BE16)/Datos!BE16),((NºAsuntos!I16/NºAsuntos!G16)-Datos!BE16)/Datos!BE16," - ")</f>
        <v>0.94798728813559341</v>
      </c>
      <c r="J16" s="464">
        <f>IF(ISNUMBER((('Resol  Asuntos'!D16/NºAsuntos!G16)-Datos!BF16)/Datos!BF16),(('Resol  Asuntos'!D16/NºAsuntos!G16)-Datos!BF16)/Datos!BF16," - ")</f>
        <v>0.40760869565217389</v>
      </c>
      <c r="K16" s="465">
        <f>IF(ISNUMBER((((NºAsuntos!C16+NºAsuntos!E16)/NºAsuntos!G16)-Datos!BG16)/Datos!BG16),(((NºAsuntos!C16+NºAsuntos!E16)/NºAsuntos!G16)-Datos!BG16)/Datos!BG16," - ")</f>
        <v>0.55506147540983597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1.24</v>
      </c>
      <c r="C17" s="459">
        <f>IF(ISNUMBER(
   IF(D_I="SI",(Datos!J17-Datos!T17)/Datos!T17,(Datos!J17+Datos!AD17-(Datos!T17+Datos!AL17))/(Datos!T17+Datos!AL17))
     ),IF(D_I="SI",(Datos!J17-Datos!T17)/Datos!T17,(Datos!J17+Datos!AD17-(Datos!T17+Datos!AL17))/(Datos!T17+Datos!AL17))," - ")</f>
        <v>0.7142857142857143</v>
      </c>
      <c r="D17" s="459">
        <f>IF(ISNUMBER(
   IF(D_I="SI",(Datos!K17-Datos!U17)/Datos!U17,(Datos!K17+Datos!AE17-(Datos!U17+Datos!AM17))/(Datos!U17+Datos!AM17))
     ),IF(D_I="SI",(Datos!K17-Datos!U17)/Datos!U17,(Datos!K17+Datos!AE17-(Datos!U17+Datos!AM17))/(Datos!U17+Datos!AM17))," - ")</f>
        <v>0.66666666666666663</v>
      </c>
      <c r="E17" s="459">
        <f>IF(ISNUMBER(
   IF(D_I="SI",(Datos!L17-Datos!V17)/Datos!V17,(Datos!L17+Datos!AF17-(Datos!V17+Datos!AN17))/(Datos!V17+Datos!AN17))
     ),IF(D_I="SI",(Datos!L17-Datos!V17)/Datos!V17,(Datos!L17+Datos!AF17-(Datos!V17+Datos!AN17))/(Datos!V17+Datos!AN17))," - ")</f>
        <v>1.1212121212121211</v>
      </c>
      <c r="F17" s="459" t="str">
        <f>IF(ISNUMBER((Datos!M17-Datos!W17)/Datos!W17),(Datos!M17-Datos!W17)/Datos!W17," - ")</f>
        <v xml:space="preserve"> - </v>
      </c>
      <c r="G17" s="460">
        <f>IF(ISNUMBER((Datos!N17-Datos!X17)/Datos!X17),(Datos!N17-Datos!X17)/Datos!X17," - ")</f>
        <v>0.52941176470588236</v>
      </c>
      <c r="H17" s="458">
        <f>IF(ISNUMBER(((NºAsuntos!G17/NºAsuntos!E17)-Datos!BD17)/Datos!BD17),((NºAsuntos!G17/NºAsuntos!E17)-Datos!BD17)/Datos!BD17," - ")</f>
        <v>-2.7777777777777679E-2</v>
      </c>
      <c r="I17" s="459">
        <f>IF(ISNUMBER(((NºAsuntos!I17/NºAsuntos!G17)-Datos!BE17)/Datos!BE17),((NºAsuntos!I17/NºAsuntos!G17)-Datos!BE17)/Datos!BE17," - ")</f>
        <v>0.27272727272727271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0.23076923076923078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0.88601036269430056</v>
      </c>
      <c r="C18" s="858">
        <f>IF(ISNUMBER(
   IF(Criterios!B14="SI",(Datos!J18-Datos!T18)/Datos!T18,(Datos!J18+Datos!AD18-(Datos!T18+Datos!AL18))/(Datos!T18+Datos!AL18))
     ),IF(Criterios!B14="SI",(Datos!J18-Datos!T18)/Datos!T18,(Datos!J18+Datos!AD18-(Datos!T18+Datos!AL18))/(Datos!T18+Datos!AL18))," - ")</f>
        <v>-0.12167300380228137</v>
      </c>
      <c r="D18" s="858">
        <f>IF(ISNUMBER(
   IF(Criterios!B14="SI",(Datos!K18-Datos!U18)/Datos!U18,(Datos!K18+Datos!AE18-(Datos!U18+Datos!AM18))/(Datos!U18+Datos!AM18))
     ),IF(Criterios!B14="SI",(Datos!K18-Datos!U18)/Datos!U18,(Datos!K18+Datos!AE18-(Datos!U18+Datos!AM18))/(Datos!U18+Datos!AM18))," - ")</f>
        <v>-5.6603773584905662E-2</v>
      </c>
      <c r="E18" s="858">
        <f>IF(ISNUMBER(
   IF(Criterios!B14="SI",(Datos!L18-Datos!V18)/Datos!V18,(Datos!L18+Datos!AF18-(Datos!V18+Datos!AN18))/(Datos!V18+Datos!AN18))
     ),IF(Criterios!B14="SI",(Datos!L18-Datos!V18)/Datos!V18,(Datos!L18+Datos!AF18-(Datos!V18+Datos!AN18))/(Datos!V18+Datos!AN18))," - ")</f>
        <v>0.83204134366925064</v>
      </c>
      <c r="F18" s="859">
        <f>IF(ISNUMBER((Datos!M18-Datos!W18)/Datos!W18),(Datos!M18-Datos!W18)/Datos!W18," - ")</f>
        <v>0.34782608695652173</v>
      </c>
      <c r="G18" s="860">
        <f>IF(ISNUMBER((Datos!N18-Datos!X18)/Datos!X18),(Datos!N18-Datos!X18)/Datos!X18," - ")</f>
        <v>0.13095238095238096</v>
      </c>
      <c r="H18" s="860">
        <f>IF(ISNUMBER(((NºAsuntos!G18/NºAsuntos!E18)-Datos!BD18)/Datos!BD18),((NºAsuntos!G18/NºAsuntos!E18)-Datos!BD18)/Datos!BD18," - ")</f>
        <v>7.4083149554847585E-2</v>
      </c>
      <c r="I18" s="860">
        <f>IF(ISNUMBER(((NºAsuntos!I18/NºAsuntos!G18)-Datos!BE18)/Datos!BE18),((NºAsuntos!I18/NºAsuntos!G18)-Datos!BE18)/Datos!BE18," - ")</f>
        <v>0.94196382428940573</v>
      </c>
      <c r="J18" s="860">
        <f>IF(ISNUMBER((('Resol  Asuntos'!D18/NºAsuntos!G18)-Datos!BF18)/Datos!BF18),(('Resol  Asuntos'!D18/NºAsuntos!G18)-Datos!BF18)/Datos!BF18," - ")</f>
        <v>0.42869565217391314</v>
      </c>
      <c r="K18" s="860">
        <f>IF(ISNUMBER((((NºAsuntos!C18+NºAsuntos!E18)/NºAsuntos!G18)-Datos!BG18)/Datos!BG18),(((NºAsuntos!C18+NºAsuntos!E18)/NºAsuntos!G18)-Datos!BG18)/Datos!BG18," - ")</f>
        <v>0.56631741140215708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0.59287925696594423</v>
      </c>
      <c r="C19" s="805">
        <f>IF(ISNUMBER(
   IF(J_V="SI",(Datos!J19-Datos!T19)/Datos!T19,(Datos!J19+Datos!Z19-(Datos!T19+Datos!AH19))/(Datos!T19+Datos!AH19))
     ),IF(J_V="SI",(Datos!J19-Datos!T19)/Datos!T19,(Datos!J19+Datos!Z19-(Datos!T19+Datos!AH19))/(Datos!T19+Datos!AH19))," - ")</f>
        <v>0.13743218806509946</v>
      </c>
      <c r="D19" s="805">
        <f>IF(ISNUMBER(
   IF(J_V="SI",(Datos!K19-Datos!U19)/Datos!U19,(Datos!K19+Datos!AA19-(Datos!U19+Datos!AI19))/(Datos!U19+Datos!AI19))
     ),IF(J_V="SI",(Datos!K19-Datos!U19)/Datos!U19,(Datos!K19+Datos!AA19-(Datos!U19+Datos!AI19))/(Datos!U19+Datos!AI19))," - ")</f>
        <v>0.10483870967741936</v>
      </c>
      <c r="E19" s="805">
        <f>IF(ISNUMBER(
   IF(J_V="SI",(Datos!L19-Datos!V19)/Datos!V19,(Datos!L19+Datos!AB19-(Datos!V19+Datos!AJ19))/(Datos!V19+Datos!AJ19))
     ),IF(J_V="SI",(Datos!L19-Datos!V19)/Datos!V19,(Datos!L19+Datos!AB19-(Datos!V19+Datos!AJ19))/(Datos!V19+Datos!AJ19))," - ")</f>
        <v>0.58210059171597628</v>
      </c>
      <c r="F19" s="806">
        <f>IF(ISNUMBER((Datos!M19-Datos!W19)/Datos!W19),(Datos!M19-Datos!W19)/Datos!W19," - ")</f>
        <v>0.28421052631578947</v>
      </c>
      <c r="G19" s="807">
        <f>IF(ISNUMBER((Datos!N19-Datos!X19)/Datos!X19),(Datos!N19-Datos!X19)/Datos!X19," - ")</f>
        <v>0.32599118942731276</v>
      </c>
      <c r="H19" s="808">
        <f>IF(ISNUMBER((Tasas!B19-Datos!BD19)/Datos!BD19),(Tasas!B19-Datos!BD19)/Datos!BD19," - ")</f>
        <v>-2.8655315657213219E-2</v>
      </c>
      <c r="I19" s="809">
        <f>IF(ISNUMBER((Tasas!C19-Datos!BE19)/Datos!BE19),(Tasas!C19-Datos!BE19)/Datos!BE19," - ")</f>
        <v>0.43197425819548241</v>
      </c>
      <c r="J19" s="810">
        <f>IF(ISNUMBER((Tasas!D19-Datos!BF19)/Datos!BF19),(Tasas!D19-Datos!BF19)/Datos!BF19," - ")</f>
        <v>0.34662631297845836</v>
      </c>
      <c r="K19" s="810">
        <f>IF(ISNUMBER((Tasas!E19-Datos!BG19)/Datos!BG19),(Tasas!E19-Datos!BG19)/Datos!BG19," - ")</f>
        <v>0.31817300654758368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t/jOUFS3qnclz4NvbD7mA+R6uXxfXZh1tM+mZhRO7lNjrg6Sh1feOTA8XUNAgYC9mIOvmJ8bofv4qCcIY4Nyw==" saltValue="7cUMgy/I9Dlqw9u4yv5y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CORCUBION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2.6666666666666665</v>
      </c>
      <c r="D10" s="447">
        <f>IF(ISNUMBER('Resol  Asuntos'!D10/NºAsuntos!G10),'Resol  Asuntos'!D10/NºAsuntos!G10," - ")</f>
        <v>1</v>
      </c>
      <c r="E10" s="448">
        <f>IF(ISNUMBER((NºAsuntos!C10+NºAsuntos!E10)/NºAsuntos!G10),(NºAsuntos!C10+NºAsuntos!E10)/NºAsuntos!G10," - ")</f>
        <v>3.6666666666666665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0.73737373737373735</v>
      </c>
      <c r="C12" s="446">
        <f>IF(ISNUMBER(NºAsuntos!I12/NºAsuntos!G12),NºAsuntos!I12/NºAsuntos!G12," - ")</f>
        <v>4.8424657534246576</v>
      </c>
      <c r="D12" s="447">
        <f>IF(ISNUMBER('Resol  Asuntos'!D12/NºAsuntos!G12),'Resol  Asuntos'!D12/NºAsuntos!G12," - ")</f>
        <v>0.2910958904109589</v>
      </c>
      <c r="E12" s="448">
        <f>IF(ISNUMBER((NºAsuntos!C12+NºAsuntos!E12)/NºAsuntos!G12),(NºAsuntos!C12+NºAsuntos!E12)/NºAsuntos!G12," - ")</f>
        <v>5.8424657534246576</v>
      </c>
      <c r="G12" s="466"/>
    </row>
    <row r="13" spans="1:7" ht="14.25" thickTop="1" thickBot="1">
      <c r="A13" s="851" t="str">
        <f>Datos!A13</f>
        <v>TOTAL</v>
      </c>
      <c r="B13" s="861">
        <f>IF(ISNUMBER(NºAsuntos!G13/NºAsuntos!E13),NºAsuntos!G13/NºAsuntos!E13," - ")</f>
        <v>0.74874371859296485</v>
      </c>
      <c r="C13" s="862">
        <f>IF(ISNUMBER(NºAsuntos!I13/NºAsuntos!G13),NºAsuntos!I13/NºAsuntos!G13," - ")</f>
        <v>4.798657718120805</v>
      </c>
      <c r="D13" s="863">
        <f>IF(ISNUMBER('Resol  Asuntos'!D13/NºAsuntos!G13),'Resol  Asuntos'!D13/NºAsuntos!G13," - ")</f>
        <v>0.30536912751677853</v>
      </c>
      <c r="E13" s="864">
        <f>IF(ISNUMBER((NºAsuntos!C13+NºAsuntos!E13)/NºAsuntos!G13),(NºAsuntos!C13+NºAsuntos!E13)/NºAsuntos!G13," - ")</f>
        <v>5.798657718120805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1.1594202898550725</v>
      </c>
      <c r="C16" s="446">
        <f>IF(ISNUMBER(NºAsuntos!I16/NºAsuntos!G16),NºAsuntos!I16/NºAsuntos!G16," - ")</f>
        <v>2.6625000000000001</v>
      </c>
      <c r="D16" s="447">
        <f>IF(ISNUMBER('Resol  Asuntos'!D16/NºAsuntos!G16),'Resol  Asuntos'!D16/NºAsuntos!G16," - ")</f>
        <v>0.125</v>
      </c>
      <c r="E16" s="448">
        <f>IF(ISNUMBER((NºAsuntos!C16+NºAsuntos!E16)/NºAsuntos!G16),(NºAsuntos!C16+NºAsuntos!E16)/NºAsuntos!G16," - ")</f>
        <v>3.6625000000000001</v>
      </c>
      <c r="G16" s="466"/>
    </row>
    <row r="17" spans="1:7" ht="13.5" thickBot="1">
      <c r="A17" s="405" t="str">
        <f>Datos!A17</f>
        <v>Jdos. Violencia contra la mujer</v>
      </c>
      <c r="B17" s="445">
        <f>IF(ISNUMBER(NºAsuntos!G17/NºAsuntos!E17),NºAsuntos!G17/NºAsuntos!E17," - ")</f>
        <v>0.41666666666666669</v>
      </c>
      <c r="C17" s="446">
        <f>IF(ISNUMBER(NºAsuntos!I17/NºAsuntos!G17),NºAsuntos!I17/NºAsuntos!G17," - ")</f>
        <v>7</v>
      </c>
      <c r="D17" s="447">
        <f>IF(ISNUMBER('Resol  Asuntos'!D17/NºAsuntos!G17),'Resol  Asuntos'!D17/NºAsuntos!G17," - ")</f>
        <v>0.1</v>
      </c>
      <c r="E17" s="448">
        <f>IF(ISNUMBER((NºAsuntos!C17+NºAsuntos!E17)/NºAsuntos!G17),(NºAsuntos!C17+NºAsuntos!E17)/NºAsuntos!G17," - ")</f>
        <v>8</v>
      </c>
      <c r="G17" s="466"/>
    </row>
    <row r="18" spans="1:7" ht="14.25" thickTop="1" thickBot="1">
      <c r="A18" s="851" t="str">
        <f>Datos!A18</f>
        <v>TOTAL</v>
      </c>
      <c r="B18" s="861">
        <f>IF(ISNUMBER(NºAsuntos!G18/NºAsuntos!E18),NºAsuntos!G18/NºAsuntos!E18," - ")</f>
        <v>1.0822510822510822</v>
      </c>
      <c r="C18" s="862">
        <f>IF(ISNUMBER(NºAsuntos!I18/NºAsuntos!G18),NºAsuntos!I18/NºAsuntos!G18," - ")</f>
        <v>2.8359999999999999</v>
      </c>
      <c r="D18" s="865">
        <f>IF(ISNUMBER('Resol  Asuntos'!D18/NºAsuntos!G18),'Resol  Asuntos'!D18/NºAsuntos!G18," - ")</f>
        <v>0.124</v>
      </c>
      <c r="E18" s="864">
        <f>IF(ISNUMBER((NºAsuntos!C18+NºAsuntos!E18)/NºAsuntos!G18),(NºAsuntos!C18+NºAsuntos!E18)/NºAsuntos!G18," - ")</f>
        <v>3.8359999999999999</v>
      </c>
      <c r="G18" s="466"/>
    </row>
    <row r="19" spans="1:7" ht="15.75" customHeight="1" thickTop="1" thickBot="1">
      <c r="A19" s="796" t="str">
        <f>Datos!A19</f>
        <v>TOTAL JURISDICCIONES</v>
      </c>
      <c r="B19" s="811">
        <f>IF(ISNUMBER(NºAsuntos!G19/NºAsuntos!E19),NºAsuntos!G19/NºAsuntos!E19," - ")</f>
        <v>0.87122416534181235</v>
      </c>
      <c r="C19" s="812">
        <f>IF(ISNUMBER(NºAsuntos!I19/NºAsuntos!G19),NºAsuntos!I19/NºAsuntos!G19," - ")</f>
        <v>3.9032846715328469</v>
      </c>
      <c r="D19" s="813">
        <f>IF(ISNUMBER('Resol  Asuntos'!D19/NºAsuntos!G19),'Resol  Asuntos'!D19/NºAsuntos!G19," - ")</f>
        <v>0.22262773722627738</v>
      </c>
      <c r="E19" s="814">
        <f>IF(ISNUMBER((NºAsuntos!C19+NºAsuntos!E19)/NºAsuntos!G19),(NºAsuntos!C19+NºAsuntos!E19)/NºAsuntos!G19," - ")</f>
        <v>4.9032846715328464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Uqnx6IYB8Hsjv+aHCWma3D3cw9w/XdwQaXFBq0iEbdxUz4AIECibSsN68tKnjo/+7cgJ5b1eTphwzmRvNSCSQ==" saltValue="52HK5RT7qyYzyJqFm027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CORCUBION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16</v>
      </c>
      <c r="AB10" s="337">
        <f>IF(ISNUMBER(Datos!R10),Datos!R10," - ")</f>
        <v>0</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8</v>
      </c>
      <c r="AN10" s="247">
        <f>IF(ISNUMBER('Resol  Asuntos'!D10/NºAsuntos!G10),'Resol  Asuntos'!D10/NºAsuntos!G10," - ")</f>
        <v>1</v>
      </c>
      <c r="AO10" s="248">
        <f>IF(ISNUMBER((NºAsuntos!C10+NºAsuntos!E10)/NºAsuntos!G10),(NºAsuntos!C10+NºAsuntos!E10)/NºAsuntos!G10," - ")</f>
        <v>3.6666666666666665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v>
      </c>
      <c r="Y12" s="337">
        <f t="shared" si="0"/>
        <v>86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85</v>
      </c>
      <c r="AJ12" s="232" t="str">
        <f>IF(ISNUMBER(Datos!BW12),Datos!BW12," - ")</f>
        <v xml:space="preserve"> - </v>
      </c>
      <c r="AK12" s="231" t="str">
        <f>IF(ISNUMBER(Datos!BX12),Datos!BX12," - ")</f>
        <v xml:space="preserve"> - </v>
      </c>
      <c r="AL12" s="246">
        <f>IF(ISNUMBER(NºAsuntos!G12/NºAsuntos!E12),NºAsuntos!G12/NºAsuntos!E12," - ")</f>
        <v>0.73737373737373735</v>
      </c>
      <c r="AM12" s="263">
        <f>IF(ISNUMBER(((NºAsuntos!I12/NºAsuntos!G12)*11)/factor_trimestre),((NºAsuntos!I12/NºAsuntos!G12)*11)/factor_trimestre," - ")</f>
        <v>14.527397260273974</v>
      </c>
      <c r="AN12" s="247">
        <f>IF(ISNUMBER('Resol  Asuntos'!D12/NºAsuntos!G12),'Resol  Asuntos'!D12/NºAsuntos!G12," - ")</f>
        <v>0.2910958904109589</v>
      </c>
      <c r="AO12" s="248">
        <f>IF(ISNUMBER((NºAsuntos!C12+NºAsuntos!E12)/NºAsuntos!G12),(NºAsuntos!C12+NºAsuntos!E12)/NºAsuntos!G12," - ")</f>
        <v>5.8424657534246576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20</v>
      </c>
      <c r="G13" s="869">
        <f t="shared" si="3"/>
        <v>20</v>
      </c>
      <c r="H13" s="868">
        <f t="shared" si="3"/>
        <v>0</v>
      </c>
      <c r="I13" s="870">
        <f t="shared" si="3"/>
        <v>0</v>
      </c>
      <c r="J13" s="870">
        <f t="shared" si="3"/>
        <v>0</v>
      </c>
      <c r="K13" s="870">
        <f t="shared" si="3"/>
        <v>0</v>
      </c>
      <c r="L13" s="870">
        <f t="shared" si="3"/>
        <v>48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86</v>
      </c>
      <c r="Y13" s="871">
        <f t="shared" si="4"/>
        <v>92</v>
      </c>
      <c r="Z13" s="871">
        <f t="shared" si="4"/>
        <v>0</v>
      </c>
      <c r="AA13" s="871">
        <f t="shared" si="4"/>
        <v>16</v>
      </c>
      <c r="AB13" s="871">
        <f t="shared" si="4"/>
        <v>628</v>
      </c>
      <c r="AC13" s="871">
        <f t="shared" si="4"/>
        <v>16</v>
      </c>
      <c r="AD13" s="871">
        <f t="shared" si="4"/>
        <v>0</v>
      </c>
      <c r="AE13" s="875">
        <f t="shared" si="4"/>
        <v>0</v>
      </c>
      <c r="AF13" s="868">
        <f t="shared" si="4"/>
        <v>0</v>
      </c>
      <c r="AG13" s="876">
        <f t="shared" si="4"/>
        <v>0</v>
      </c>
      <c r="AH13" s="873">
        <f t="shared" si="4"/>
        <v>0</v>
      </c>
      <c r="AI13" s="868">
        <f t="shared" si="4"/>
        <v>91</v>
      </c>
      <c r="AJ13" s="870">
        <f t="shared" si="4"/>
        <v>0</v>
      </c>
      <c r="AK13" s="873">
        <f>SUBTOTAL(9,AK9:AK12)</f>
        <v>0</v>
      </c>
      <c r="AL13" s="877">
        <f>IF(ISNUMBER(NºAsuntos!G13/NºAsuntos!E13),NºAsuntos!G13/NºAsuntos!E13," - ")</f>
        <v>0.74874371859296485</v>
      </c>
      <c r="AM13" s="877">
        <f>IF(ISNUMBER(((NºAsuntos!I13/NºAsuntos!G13)*11)/factor_trimestre),((NºAsuntos!I13/NºAsuntos!G13)*11)/factor_trimestre," - ")</f>
        <v>14.395973154362416</v>
      </c>
      <c r="AN13" s="878">
        <f>IF(ISNUMBER('Resol  Asuntos'!D13/NºAsuntos!G13),'Resol  Asuntos'!D13/NºAsuntos!G13," - ")</f>
        <v>0.30536912751677853</v>
      </c>
      <c r="AO13" s="879">
        <f>IF(ISNUMBER((NºAsuntos!C13+NºAsuntos!E13)/NºAsuntos!G13),(NºAsuntos!C13+NºAsuntos!E13)/NºAsuntos!G13," - ")</f>
        <v>5.798657718120805</v>
      </c>
      <c r="AP13" s="880" t="str">
        <f t="shared" si="2"/>
        <v xml:space="preserve"> - </v>
      </c>
      <c r="AQ13" s="880">
        <f>IF(ISNUMBER((H13-W13+K13)/(F13)),(H13-W13+K13)/(F13)," - ")</f>
        <v>-0.3</v>
      </c>
      <c r="AR13" s="881">
        <f>IF(ISNUMBER((Datos!P13-Datos!Q13)/(Datos!R13-Datos!P13+Datos!Q13)),(Datos!P13-Datos!Q13)/(Datos!R13-Datos!P13+Datos!Q13)," - ")</f>
        <v>-5.7057057057057055E-2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672</v>
      </c>
      <c r="G16" s="336">
        <f>IF(ISNUMBER(IF(D_I="SI",Datos!I16,Datos!I16+Datos!AC16)),IF(D_I="SI",Datos!I16,Datos!I16+Datos!AC16)," - ")</f>
        <v>672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240</v>
      </c>
      <c r="X16" s="229">
        <f>IF(ISNUMBER(Datos!Q16),Datos!Q16," - ")</f>
        <v>3</v>
      </c>
      <c r="Y16" s="337">
        <f t="shared" ref="Y16:Y17" si="7">SUM(W16:X16)</f>
        <v>243</v>
      </c>
      <c r="Z16" s="338" t="str">
        <f>IF(ISNUMBER(Datos!CC16),Datos!CC16," - ")</f>
        <v xml:space="preserve"> - </v>
      </c>
      <c r="AA16" s="335">
        <f>IF(ISNUMBER(IF(D_I="SI",Datos!L16,Datos!L16+Datos!AF16)),IF(D_I="SI",Datos!L16,Datos!L16+Datos!AF16)," - ")</f>
        <v>639</v>
      </c>
      <c r="AB16" s="337">
        <f>IF(ISNUMBER(Datos!R16),Datos!R16," - ")</f>
        <v>64</v>
      </c>
      <c r="AC16" s="337">
        <f t="shared" si="6"/>
        <v>703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v>
      </c>
      <c r="AJ16" s="234" t="str">
        <f>IF(ISNUMBER(Datos!BW16),Datos!BW16," - ")</f>
        <v xml:space="preserve"> - </v>
      </c>
      <c r="AK16" s="235" t="str">
        <f>IF(ISNUMBER(Datos!BX16),Datos!BX16," - ")</f>
        <v xml:space="preserve"> - </v>
      </c>
      <c r="AL16" s="246">
        <f>IF(ISNUMBER(NºAsuntos!G16/NºAsuntos!E16),NºAsuntos!G16/NºAsuntos!E16," - ")</f>
        <v>1.1594202898550725</v>
      </c>
      <c r="AM16" s="263">
        <f>IF(ISNUMBER(((NºAsuntos!I16/NºAsuntos!G16)*11)/factor_trimestre),((NºAsuntos!I16/NºAsuntos!G16)*11)/factor_trimestre," - ")</f>
        <v>7.9875000000000007</v>
      </c>
      <c r="AN16" s="247">
        <f>IF(ISNUMBER('Resol  Asuntos'!D16/NºAsuntos!G16),'Resol  Asuntos'!D16/NºAsuntos!G16," - ")</f>
        <v>0.125</v>
      </c>
      <c r="AO16" s="248">
        <f>IF(ISNUMBER((NºAsuntos!C16+NºAsuntos!E16)/NºAsuntos!G16),(NºAsuntos!C16+NºAsuntos!E16)/NºAsuntos!G16," - ")</f>
        <v>3.6625000000000001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v>
      </c>
      <c r="X17" s="229">
        <f>IF(ISNUMBER(Datos!Q17),Datos!Q17," - ")</f>
        <v>0</v>
      </c>
      <c r="Y17" s="337">
        <f t="shared" si="7"/>
        <v>10</v>
      </c>
      <c r="Z17" s="338" t="str">
        <f>IF(ISNUMBER(Datos!CC17),Datos!CC17," - ")</f>
        <v xml:space="preserve"> - </v>
      </c>
      <c r="AA17" s="335">
        <f>IF(ISNUMBER(Datos!L17),Datos!L17,"-")</f>
        <v>70</v>
      </c>
      <c r="AB17" s="337">
        <f>IF(ISNUMBER(Datos!R17),Datos!R17," - ")</f>
        <v>0</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0.41666666666666669</v>
      </c>
      <c r="AM17" s="263">
        <f>IF(ISNUMBER(((NºAsuntos!I17/NºAsuntos!G17)*11)/factor_trimestre),((NºAsuntos!I17/NºAsuntos!G17)*11)/factor_trimestre," - ")</f>
        <v>21</v>
      </c>
      <c r="AN17" s="247">
        <f>IF(ISNUMBER('Resol  Asuntos'!D17/NºAsuntos!G17),'Resol  Asuntos'!D17/NºAsuntos!G17," - ")</f>
        <v>0.1</v>
      </c>
      <c r="AO17" s="248">
        <f>IF(ISNUMBER((NºAsuntos!C17+NºAsuntos!E17)/NºAsuntos!G17),(NºAsuntos!C17+NºAsuntos!E17)/NºAsuntos!G17," - ")</f>
        <v>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672</v>
      </c>
      <c r="G18" s="869">
        <f>SUBTOTAL(9,G15:G17)</f>
        <v>728</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250</v>
      </c>
      <c r="X18" s="870">
        <f t="shared" si="11"/>
        <v>3</v>
      </c>
      <c r="Y18" s="871">
        <f t="shared" si="11"/>
        <v>253</v>
      </c>
      <c r="Z18" s="871">
        <f t="shared" si="11"/>
        <v>0</v>
      </c>
      <c r="AA18" s="871">
        <f t="shared" si="11"/>
        <v>709</v>
      </c>
      <c r="AB18" s="871">
        <f t="shared" si="11"/>
        <v>64</v>
      </c>
      <c r="AC18" s="871">
        <f t="shared" si="11"/>
        <v>773</v>
      </c>
      <c r="AD18" s="871">
        <f t="shared" si="11"/>
        <v>0</v>
      </c>
      <c r="AE18" s="875">
        <f t="shared" si="11"/>
        <v>0</v>
      </c>
      <c r="AF18" s="868">
        <f t="shared" si="11"/>
        <v>0</v>
      </c>
      <c r="AG18" s="876">
        <f t="shared" si="11"/>
        <v>0</v>
      </c>
      <c r="AH18" s="873">
        <f t="shared" si="11"/>
        <v>0</v>
      </c>
      <c r="AI18" s="868">
        <f t="shared" si="11"/>
        <v>31</v>
      </c>
      <c r="AJ18" s="870">
        <f t="shared" si="11"/>
        <v>0</v>
      </c>
      <c r="AK18" s="873">
        <f t="shared" si="11"/>
        <v>0</v>
      </c>
      <c r="AL18" s="877">
        <f>IF(ISNUMBER(NºAsuntos!G18/NºAsuntos!E18),NºAsuntos!G18/NºAsuntos!E18," - ")</f>
        <v>1.0822510822510822</v>
      </c>
      <c r="AM18" s="877">
        <f>IF(ISNUMBER(((NºAsuntos!I18/NºAsuntos!G18)*11)/factor_trimestre),((NºAsuntos!I18/NºAsuntos!G18)*11)/factor_trimestre," - ")</f>
        <v>8.5079999999999991</v>
      </c>
      <c r="AN18" s="878">
        <f>IF(ISNUMBER('Resol  Asuntos'!D18/NºAsuntos!G18),'Resol  Asuntos'!D18/NºAsuntos!G18," - ")</f>
        <v>0.124</v>
      </c>
      <c r="AO18" s="879">
        <f>IF(ISNUMBER((NºAsuntos!C18+NºAsuntos!E18)/NºAsuntos!G18),(NºAsuntos!C18+NºAsuntos!E18)/NºAsuntos!G18," - ")</f>
        <v>3.8359999999999999</v>
      </c>
      <c r="AP18" s="880" t="str">
        <f t="shared" si="2"/>
        <v xml:space="preserve"> - </v>
      </c>
      <c r="AQ18" s="880">
        <f>IF(ISNUMBER((H18-W18+K18)/(F18)),(H18-W18+K18)/(F18)," - ")</f>
        <v>-0.37202380952380953</v>
      </c>
      <c r="AR18" s="881">
        <f>IF(ISNUMBER((Datos!P18-Datos!Q18)/(Datos!R18-Datos!P18+Datos!Q18)),(Datos!P18-Datos!Q18)/(Datos!R18-Datos!P18+Datos!Q18)," - ")</f>
        <v>4.9180327868852458E-2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692</v>
      </c>
      <c r="G19" s="824">
        <f t="shared" si="13"/>
        <v>748</v>
      </c>
      <c r="H19" s="823">
        <f t="shared" si="13"/>
        <v>0</v>
      </c>
      <c r="I19" s="825">
        <f t="shared" si="13"/>
        <v>0</v>
      </c>
      <c r="J19" s="825">
        <f t="shared" si="13"/>
        <v>0</v>
      </c>
      <c r="K19" s="884">
        <f t="shared" si="13"/>
        <v>0</v>
      </c>
      <c r="L19" s="825">
        <f t="shared" si="13"/>
        <v>54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256</v>
      </c>
      <c r="X19" s="824">
        <f t="shared" si="14"/>
        <v>89</v>
      </c>
      <c r="Y19" s="831">
        <f t="shared" si="14"/>
        <v>345</v>
      </c>
      <c r="Z19" s="831">
        <f t="shared" si="14"/>
        <v>0</v>
      </c>
      <c r="AA19" s="831">
        <f t="shared" si="14"/>
        <v>725</v>
      </c>
      <c r="AB19" s="831">
        <f t="shared" si="14"/>
        <v>692</v>
      </c>
      <c r="AC19" s="831">
        <f t="shared" si="14"/>
        <v>789</v>
      </c>
      <c r="AD19" s="831">
        <f t="shared" si="14"/>
        <v>0</v>
      </c>
      <c r="AE19" s="833">
        <f t="shared" si="14"/>
        <v>0</v>
      </c>
      <c r="AF19" s="834">
        <f t="shared" si="14"/>
        <v>0</v>
      </c>
      <c r="AG19" s="835">
        <f t="shared" si="14"/>
        <v>0</v>
      </c>
      <c r="AH19" s="833">
        <f t="shared" si="14"/>
        <v>0</v>
      </c>
      <c r="AI19" s="823">
        <f t="shared" si="14"/>
        <v>122</v>
      </c>
      <c r="AJ19" s="823">
        <f t="shared" si="14"/>
        <v>0</v>
      </c>
      <c r="AK19" s="833">
        <f t="shared" si="14"/>
        <v>0</v>
      </c>
      <c r="AL19" s="887">
        <f>IF(ISNUMBER(NºAsuntos!G19/NºAsuntos!E19),NºAsuntos!G19/NºAsuntos!E19," - ")</f>
        <v>0.87122416534181235</v>
      </c>
      <c r="AM19" s="888">
        <f>IF(ISNUMBER(((NºAsuntos!I19/NºAsuntos!G19)*11)/factor_trimestre),((NºAsuntos!I19/NºAsuntos!G19)*11)/factor_trimestre," - ")</f>
        <v>11.709854014598541</v>
      </c>
      <c r="AN19" s="888">
        <f>IF(ISNUMBER('Resol  Asuntos'!D19/NºAsuntos!G19),'Resol  Asuntos'!D19/NºAsuntos!G19," - ")</f>
        <v>0.22262773722627738</v>
      </c>
      <c r="AO19" s="889">
        <f>IF(ISNUMBER((NºAsuntos!C19+NºAsuntos!E19)/NºAsuntos!G19),(NºAsuntos!C19+NºAsuntos!E19)/NºAsuntos!G19," - ")</f>
        <v>4.9032846715328464</v>
      </c>
      <c r="AP19" s="890" t="str">
        <f t="shared" si="2"/>
        <v xml:space="preserve"> - </v>
      </c>
      <c r="AQ19" s="891">
        <f>IF(OR(ISNUMBER(FIND("01",Criterios!A8,1)),ISNUMBER(FIND("02",Criterios!A8,1)),ISNUMBER(FIND("03",Criterios!A8,1)),ISNUMBER(FIND("04",Criterios!A8,1))),(I19-W19+K19)/(F19-K19),(H19-W19+K19)/(F19-K19))</f>
        <v>-0.36994219653179189</v>
      </c>
      <c r="AR19" s="892">
        <f>IF(ISNUMBER((Datos!P19-Datos!Q19)/(Datos!R19-Datos!P19+Datos!Q19)),(Datos!P19-Datos!Q19)/(Datos!R19-Datos!P19+Datos!Q19)," - ")</f>
        <v>-4.8143053645116916E-2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376.432375511636</v>
      </c>
      <c r="G21" s="256">
        <f>IF(ISNUMBER(STDEV(G8:G18)),STDEV(G8:G18),"-")</f>
        <v>366.70860366236298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130.23363620816244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38.681606309286934</v>
      </c>
      <c r="AJ21" s="255">
        <f t="shared" si="18"/>
        <v>0</v>
      </c>
      <c r="AK21" s="257">
        <f t="shared" si="18"/>
        <v>0</v>
      </c>
      <c r="AL21" s="252">
        <f t="shared" si="18"/>
        <v>0.92587944391491994</v>
      </c>
      <c r="AM21" s="253">
        <f t="shared" si="18"/>
        <v>5.223935084535384</v>
      </c>
      <c r="AN21" s="253">
        <f t="shared" si="18"/>
        <v>0.34298175815177462</v>
      </c>
      <c r="AO21" s="254">
        <f t="shared" si="18"/>
        <v>1.7413116948451282</v>
      </c>
      <c r="AP21" s="294" t="str">
        <f t="shared" si="18"/>
        <v>-</v>
      </c>
      <c r="AQ21" s="295">
        <f t="shared" si="18"/>
        <v>5.0928524121173643E-2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bsKQOPyQoZNb+cyboN21iRySqzER3JTW6gfjaF8V8q83NbP3DS+wrFErh3ztTzquqj7L2omFCg/LyGKJHUu7w==" saltValue="0/69Fmub1H2XArjQXpCv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CORCUBION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1.8571428571428572</v>
      </c>
      <c r="E10" s="351">
        <f>IF(ISNUMBER((Datos!J10-Datos!T10)/Datos!T10),(Datos!J10-Datos!T10)/Datos!T10," - ")</f>
        <v>0</v>
      </c>
      <c r="F10" s="351" t="str">
        <f>IF(ISNUMBER((Datos!K10-Datos!U10)/Datos!U10),(Datos!K10-Datos!U10)/Datos!U10," - ")</f>
        <v xml:space="preserve"> - </v>
      </c>
      <c r="G10" s="352">
        <f>IF(ISNUMBER((Datos!L10-Datos!V10)/Datos!V10),(Datos!L10-Datos!V10)/Datos!V10," - ")</f>
        <v>0.77777777777777779</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0.18055555555555555</v>
      </c>
      <c r="I12" s="353">
        <f>IF(ISNUMBER((Tasas!C12-Datos!BE12)/Datos!BE12),(Tasas!C12-Datos!BE12)/Datos!BE12," - ")</f>
        <v>0.17009371238608365</v>
      </c>
      <c r="J12" s="352">
        <f>IF(ISNUMBER((Tasas!D12-Datos!BF12)/Datos!BF12),(Tasas!D12-Datos!BF12)/Datos!BF12," - ")</f>
        <v>0.13971441838866955</v>
      </c>
      <c r="K12" s="354">
        <f>IF(ISNUMBER((Tasas!E12-Datos!BG12)/Datos!BG12),(Tasas!E12-Datos!BG12)/Datos!BG12," - ")</f>
        <v>0.13699207164372026</v>
      </c>
      <c r="M12" t="e">
        <f>IF(Monitorios="SI",Datos!CE12,0)</f>
        <v>#REF!</v>
      </c>
      <c r="N12" t="e">
        <f>IF(Monitorios="SI",Datos!CF12,0)</f>
        <v>#REF!</v>
      </c>
      <c r="O12" t="e">
        <f>IF(Monitorios="SI",Datos!CG12,0)</f>
        <v>#REF!</v>
      </c>
      <c r="P12" t="e">
        <f>IF(Monitorios="SI",Datos!CH12,0)</f>
        <v>#REF!</v>
      </c>
      <c r="Q12">
        <f>IF(J_V="SI",0,Datos!AG12)</f>
        <v>49</v>
      </c>
      <c r="R12">
        <f>IF(J_V="SI",0,Datos!AH12)</f>
        <v>28</v>
      </c>
      <c r="S12">
        <f>IF(J_V="SI",0,Datos!AI12)</f>
        <v>31</v>
      </c>
      <c r="T12">
        <f>IF(J_V="SI",0,Datos!AJ12)</f>
        <v>46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0.2638888888888889</v>
      </c>
      <c r="I13" s="360">
        <f>IF(ISNUMBER((Tasas!C13-Datos!BE13)/Datos!BE13),(Tasas!C13-Datos!BE13)/Datos!BE13," - ")</f>
        <v>0.14869423096985071</v>
      </c>
      <c r="J13" s="358">
        <f>IF(ISNUMBER((Tasas!D13-Datos!BF13)/Datos!BF13),(Tasas!D13-Datos!BF13)/Datos!BF13," - ")</f>
        <v>0.19559777044704807</v>
      </c>
      <c r="K13" s="361">
        <f>IF(ISNUMBER((Tasas!E13-Datos!BG13)/Datos!BG13),(Tasas!E13-Datos!BG13)/Datos!BG13," - ")</f>
        <v>0.1199748602724966</v>
      </c>
      <c r="M13" t="e">
        <f>IF(Monitorios="SI",Datos!CE13,0)</f>
        <v>#REF!</v>
      </c>
      <c r="N13" t="e">
        <f>IF(Monitorios="SI",Datos!CF13,0)</f>
        <v>#REF!</v>
      </c>
      <c r="O13" t="e">
        <f>IF(Monitorios="SI",Datos!CG13,0)</f>
        <v>#REF!</v>
      </c>
      <c r="P13" t="e">
        <f>IF(Monitorios="SI",Datos!CH13,0)</f>
        <v>#REF!</v>
      </c>
      <c r="Q13">
        <f>IF(J_V="SI",0,Datos!AG13)</f>
        <v>49</v>
      </c>
      <c r="R13">
        <f>IF(J_V="SI",0,Datos!AH13)</f>
        <v>28</v>
      </c>
      <c r="S13">
        <f>IF(J_V="SI",0,Datos!AI13)</f>
        <v>31</v>
      </c>
      <c r="T13">
        <f>IF(J_V="SI",0,Datos!AJ13)</f>
        <v>46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0.86149584487534625</v>
      </c>
      <c r="E16" s="351">
        <f>IF(ISNUMBER(
   IF(D_I="SI",(Datos!J16-Datos!T16)/Datos!T16,(Datos!J16+Datos!AD16-(Datos!T16+Datos!AL16))/(Datos!T16+Datos!AL16))
     ),IF(D_I="SI",(Datos!J16-Datos!T16)/Datos!T16,(Datos!J16+Datos!AD16-(Datos!T16+Datos!AL16))/(Datos!T16+Datos!AL16))," - ")</f>
        <v>-0.16867469879518071</v>
      </c>
      <c r="F16" s="351">
        <f>IF(ISNUMBER(
   IF(D_I="SI",(Datos!K16-Datos!U16)/Datos!U16,(Datos!K16+Datos!AE16-(Datos!U16+Datos!AM16))/(Datos!U16+Datos!AM16))
     ),IF(D_I="SI",(Datos!K16-Datos!U16)/Datos!U16,(Datos!K16+Datos!AE16-(Datos!U16+Datos!AM16))/(Datos!U16+Datos!AM16))," - ")</f>
        <v>-7.3359073359073365E-2</v>
      </c>
      <c r="G16" s="352">
        <f>IF(ISNUMBER(
   IF(D_I="SI",(Datos!L16-Datos!V16)/Datos!V16,(Datos!L16+Datos!AF16-(Datos!V16+Datos!AN16))/(Datos!V16+Datos!AN16))
     ),IF(D_I="SI",(Datos!L16-Datos!V16)/Datos!V16,(Datos!L16+Datos!AF16-(Datos!V16+Datos!AN16))/(Datos!V16+Datos!AN16))," - ")</f>
        <v>0.80508474576271183</v>
      </c>
      <c r="H16" s="233">
        <f>IF(ISNUMBER((Datos!M16-Datos!W16)/Datos!W16),(Datos!M16-Datos!W16)/Datos!W16," - ")</f>
        <v>0.30434782608695654</v>
      </c>
      <c r="I16" s="353">
        <f>IF(ISNUMBER((Tasas!C16-Datos!BE16)/Datos!BE16),(Tasas!C16-Datos!BE16)/Datos!BE16," - ")</f>
        <v>0.94798728813559341</v>
      </c>
      <c r="J16" s="352">
        <f>IF(ISNUMBER((Tasas!D16-Datos!BF16)/Datos!BF16),(Tasas!D16-Datos!BF16)/Datos!BF16," - ")</f>
        <v>0.40760869565217389</v>
      </c>
      <c r="K16" s="354">
        <f>IF(ISNUMBER((Tasas!E16-Datos!BG16)/Datos!BG16),(Tasas!E16-Datos!BG16)/Datos!BG16," - ")</f>
        <v>0.55506147540983597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1.24</v>
      </c>
      <c r="E17" s="351">
        <f>IF(ISNUMBER(
   IF(D_I="SI",(Datos!J17-Datos!T17)/Datos!T17,(Datos!J17+Datos!AD17-(Datos!T17+Datos!AL17))/(Datos!T17+Datos!AL17))
     ),IF(D_I="SI",(Datos!J17-Datos!T17)/Datos!T17,(Datos!J17+Datos!AD17-(Datos!T17+Datos!AL17))/(Datos!T17+Datos!AL17))," - ")</f>
        <v>0.7142857142857143</v>
      </c>
      <c r="F17" s="351">
        <f>IF(ISNUMBER(
   IF(D_I="SI",(Datos!K17-Datos!U17)/Datos!U17,(Datos!K17+Datos!AE17-(Datos!U17+Datos!AM17))/(Datos!U17+Datos!AM17))
     ),IF(D_I="SI",(Datos!K17-Datos!U17)/Datos!U17,(Datos!K17+Datos!AE17-(Datos!U17+Datos!AM17))/(Datos!U17+Datos!AM17))," - ")</f>
        <v>0.66666666666666663</v>
      </c>
      <c r="G17" s="352">
        <f>IF(ISNUMBER(
   IF(D_I="SI",(Datos!L17-Datos!V17)/Datos!V17,(Datos!L17+Datos!AF17-(Datos!V17+Datos!AN17))/(Datos!V17+Datos!AN17))
     ),IF(D_I="SI",(Datos!L17-Datos!V17)/Datos!V17,(Datos!L17+Datos!AF17-(Datos!V17+Datos!AN17))/(Datos!V17+Datos!AN17))," - ")</f>
        <v>1.1212121212121211</v>
      </c>
      <c r="H17" s="233" t="str">
        <f>IF(ISNUMBER((Datos!M17-Datos!W17)/Datos!W17),(Datos!M17-Datos!W17)/Datos!W17," - ")</f>
        <v xml:space="preserve"> - </v>
      </c>
      <c r="I17" s="353">
        <f>IF(ISNUMBER((Tasas!C17-Datos!BE17)/Datos!BE17),(Tasas!C17-Datos!BE17)/Datos!BE17," - ")</f>
        <v>0.27272727272727271</v>
      </c>
      <c r="J17" s="352" t="str">
        <f>IF(ISNUMBER((Tasas!D17-Datos!BF17)/Datos!BF17),(Tasas!D17-Datos!BF17)/Datos!BF17," - ")</f>
        <v xml:space="preserve"> - </v>
      </c>
      <c r="K17" s="354">
        <f>IF(ISNUMBER((Tasas!E17-Datos!BG17)/Datos!BG17),(Tasas!E17-Datos!BG17)/Datos!BG17," - ")</f>
        <v>0.23076923076923078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0.88601036269430056</v>
      </c>
      <c r="E18" s="357">
        <f>IF(ISNUMBER(
   IF(D_I="SI",(Datos!J18-Datos!T18)/Datos!T18,(Datos!J18+Datos!AD18-(Datos!T18+Datos!AL18))/(Datos!T18+Datos!AL18))
     ),IF(D_I="SI",(Datos!J18-Datos!T18)/Datos!T18,(Datos!J18+Datos!AD18-(Datos!T18+Datos!AL18))/(Datos!T18+Datos!AL18))," - ")</f>
        <v>-0.12167300380228137</v>
      </c>
      <c r="F18" s="357">
        <f>IF(ISNUMBER(
   IF(D_I="SI",(Datos!K18-Datos!U18)/Datos!U18,(Datos!K18+Datos!AE18-(Datos!U18+Datos!AM18))/(Datos!U18+Datos!AM18))
     ),IF(D_I="SI",(Datos!K18-Datos!U18)/Datos!U18,(Datos!K18+Datos!AE18-(Datos!U18+Datos!AM18))/(Datos!U18+Datos!AM18))," - ")</f>
        <v>-5.6603773584905662E-2</v>
      </c>
      <c r="G18" s="358">
        <f>IF(ISNUMBER(
   IF(D_I="SI",(Datos!L18-Datos!V18)/Datos!V18,(Datos!L18+Datos!AF18-(Datos!V18+Datos!AN18))/(Datos!V18+Datos!AN18))
     ),IF(D_I="SI",(Datos!L18-Datos!V18)/Datos!V18,(Datos!L18+Datos!AF18-(Datos!V18+Datos!AN18))/(Datos!V18+Datos!AN18))," - ")</f>
        <v>0.83204134366925064</v>
      </c>
      <c r="H18" s="359">
        <f>IF(ISNUMBER((Datos!M18-Datos!W18)/Datos!W18),(Datos!M18-Datos!W18)/Datos!W18," - ")</f>
        <v>0.34782608695652173</v>
      </c>
      <c r="I18" s="360">
        <f>IF(ISNUMBER((Tasas!C18-Datos!BE18)/Datos!BE18),(Tasas!C18-Datos!BE18)/Datos!BE18," - ")</f>
        <v>0.94196382428940573</v>
      </c>
      <c r="J18" s="358">
        <f>IF(ISNUMBER((Tasas!D18-Datos!BF18)/Datos!BF18),(Tasas!D18-Datos!BF18)/Datos!BF18," - ")</f>
        <v>0.42869565217391314</v>
      </c>
      <c r="K18" s="361">
        <f>IF(ISNUMBER((Tasas!E18-Datos!BG18)/Datos!BG18),(Tasas!E18-Datos!BG18)/Datos!BG18," - ")</f>
        <v>0.56631741140215708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0.59287925696594423</v>
      </c>
      <c r="E19" s="366">
        <f>IF(ISNUMBER(
   IF(J_V="SI",(Datos!J19-Datos!T19)/Datos!T19,(Datos!J19+Datos!Z19-(Datos!T19+Datos!AH19))/(Datos!T19+Datos!AH19))
     ),IF(J_V="SI",(Datos!J19-Datos!T19)/Datos!T19,(Datos!J19+Datos!Z19-(Datos!T19+Datos!AH19))/(Datos!T19+Datos!AH19))," - ")</f>
        <v>0.13743218806509946</v>
      </c>
      <c r="F19" s="366">
        <f>IF(ISNUMBER(
   IF(J_V="SI",(Datos!K19-Datos!U19)/Datos!U19,(Datos!K19+Datos!AA19-(Datos!U19+Datos!AI19))/(Datos!U19+Datos!AI19))
     ),IF(J_V="SI",(Datos!K19-Datos!U19)/Datos!U19,(Datos!K19+Datos!AA19-(Datos!U19+Datos!AI19))/(Datos!U19+Datos!AI19))," - ")</f>
        <v>0.10483870967741936</v>
      </c>
      <c r="G19" s="367">
        <f>IF(ISNUMBER(
   IF(J_V="SI",(Datos!L19-Datos!V19)/Datos!V19,(Datos!L19+Datos!AB19-(Datos!V19+Datos!AJ19))/(Datos!V19+Datos!AJ19))
     ),IF(J_V="SI",(Datos!L19-Datos!V19)/Datos!V19,(Datos!L19+Datos!AB19-(Datos!V19+Datos!AJ19))/(Datos!V19+Datos!AJ19))," - ")</f>
        <v>0.58210059171597628</v>
      </c>
      <c r="H19" s="368">
        <f>IF(ISNUMBER((Datos!M19-Datos!W19)/Datos!W19),(Datos!M19-Datos!W19)/Datos!W19," - ")</f>
        <v>0.28421052631578947</v>
      </c>
      <c r="I19" s="365">
        <f>IF(ISNUMBER((Tasas!C19-Datos!BE19)/Datos!BE19),(Tasas!C19-Datos!BE19)/Datos!BE19," - ")</f>
        <v>0.43197425819548241</v>
      </c>
      <c r="J19" s="366">
        <f>IF(ISNUMBER((Tasas!D19-Datos!BF19)/Datos!BF19),(Tasas!D19-Datos!BF19)/Datos!BF19," - ")</f>
        <v>0.34662631297845836</v>
      </c>
      <c r="K19" s="367">
        <f>IF(ISNUMBER((Tasas!E19-Datos!BG19)/Datos!BG19),(Tasas!E19-Datos!BG19)/Datos!BG19," - ")</f>
        <v>0.31817300654758368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0.46408077792591651</v>
      </c>
      <c r="E21" s="281">
        <f t="shared" si="1"/>
        <v>0.41171539363255166</v>
      </c>
      <c r="F21" s="281">
        <f t="shared" si="1"/>
        <v>0.42250028909514165</v>
      </c>
      <c r="G21" s="282">
        <f t="shared" si="1"/>
        <v>0.15966638855176085</v>
      </c>
      <c r="H21" s="288">
        <f t="shared" si="1"/>
        <v>7.1192894864240686E-2</v>
      </c>
      <c r="I21" s="280">
        <f t="shared" si="1"/>
        <v>0.41226894360321731</v>
      </c>
      <c r="J21" s="281">
        <f t="shared" si="1"/>
        <v>0.14666525404104547</v>
      </c>
      <c r="K21" s="282">
        <f t="shared" si="1"/>
        <v>0.22213376381024305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tGuL4OeD7/OVBbQO4164kIpO2HcuaE87qt5scVR7CtYr1F9VPi81cKRyz1DHb1Jrz115YIBA6jY5xERwITcKQ==" saltValue="zUUEt2xy86KDwmLGxT4c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